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mittayu\Desktop\Templates\"/>
    </mc:Choice>
  </mc:AlternateContent>
  <bookViews>
    <workbookView xWindow="-120" yWindow="-120" windowWidth="15810" windowHeight="4920" tabRatio="889" firstSheet="24" activeTab="32"/>
  </bookViews>
  <sheets>
    <sheet name="Key Inputs and Assumptions" sheetId="2" r:id="rId1"/>
    <sheet name="Print &gt;&gt;" sheetId="31" r:id="rId2"/>
    <sheet name="Exhibits" sheetId="32" r:id="rId3"/>
    <sheet name="Cover" sheetId="13" r:id="rId4"/>
    <sheet name="TOC" sheetId="3" r:id="rId5"/>
    <sheet name="Summary of Values" sheetId="4" r:id="rId6"/>
    <sheet name="Rates of Return &gt;&gt;" sheetId="27" r:id="rId7"/>
    <sheet name="WARA" sheetId="11" r:id="rId8"/>
    <sheet name="WACC" sheetId="10" r:id="rId9"/>
    <sheet name="Beta Calculation" sheetId="17" r:id="rId10"/>
    <sheet name="IRR" sheetId="8" r:id="rId11"/>
    <sheet name="Financial Statements &gt;&gt;" sheetId="28" r:id="rId12"/>
    <sheet name="Historical IS" sheetId="6" r:id="rId13"/>
    <sheet name="Historical BS" sheetId="14" r:id="rId14"/>
    <sheet name="PFI" sheetId="7" r:id="rId15"/>
    <sheet name="Intangible Asset Valuation &gt;&gt;" sheetId="29" r:id="rId16"/>
    <sheet name="Trade Name and Trademarks" sheetId="1" r:id="rId17"/>
    <sheet name="Tradename RR Support" sheetId="19" r:id="rId18"/>
    <sheet name="Non-Compete Agreement_A" sheetId="22" r:id="rId19"/>
    <sheet name="Non-Compete Agreement_B" sheetId="9" r:id="rId20"/>
    <sheet name="Technology" sheetId="24" r:id="rId21"/>
    <sheet name="Assembled Workforce" sheetId="16" r:id="rId22"/>
    <sheet name="CAC" sheetId="21" r:id="rId23"/>
    <sheet name="Workpapers &gt;&gt;" sheetId="30" r:id="rId24"/>
    <sheet name="Comp. Growth &amp; Margins" sheetId="25" r:id="rId25"/>
    <sheet name="Comp. Capex, Dep &amp; NWC" sheetId="26" r:id="rId26"/>
    <sheet name="Not Used&gt;&gt;" sheetId="20" r:id="rId27"/>
    <sheet name="Dev. Tech. RFR" sheetId="12" r:id="rId28"/>
    <sheet name="Tech RR Support" sheetId="18" r:id="rId29"/>
    <sheet name="Customer Relationships" sheetId="33" r:id="rId30"/>
    <sheet name="Customer Attrition" sheetId="34" r:id="rId31"/>
    <sheet name="Sales Attrition" sheetId="35" r:id="rId32"/>
    <sheet name="Inventory" sheetId="36" r:id="rId33"/>
  </sheets>
  <externalReferences>
    <externalReference r:id="rId34"/>
  </externalReferences>
  <definedNames>
    <definedName name="Acq_name">'Key Inputs and Assumptions'!$C$11</definedName>
    <definedName name="CIQWBGuid" hidden="1">"277b0d6a-2076-49ca-ad6e-5f6af000749e"</definedName>
    <definedName name="LFY">'Key Inputs and Assumptions'!$C$14</definedName>
    <definedName name="LTGR">'Key Inputs and Assumptions'!$C$37</definedName>
    <definedName name="nwc_req">PFI!$C$32</definedName>
    <definedName name="_xlnm.Print_Area" localSheetId="21">'Assembled Workforce'!$A$1:$K$31</definedName>
    <definedName name="_xlnm.Print_Area" localSheetId="9">'Beta Calculation'!$A$1:$O$26</definedName>
    <definedName name="_xlnm.Print_Area" localSheetId="22">CAC!$A$1:$N$45</definedName>
    <definedName name="_xlnm.Print_Area" localSheetId="25">'Comp. Capex, Dep &amp; NWC'!$A$1:$N$36,'Comp. Capex, Dep &amp; NWC'!$P$1:$AC$36</definedName>
    <definedName name="_xlnm.Print_Area" localSheetId="24">'Comp. Growth &amp; Margins'!$A$1:$N$36,'Comp. Growth &amp; Margins'!$P$1:$AC$36</definedName>
    <definedName name="_xlnm.Print_Area" localSheetId="3">Cover!$A$1:$O$36</definedName>
    <definedName name="_xlnm.Print_Area" localSheetId="30">'Customer Attrition'!$A$1:$L$98</definedName>
    <definedName name="_xlnm.Print_Area" localSheetId="29">'Customer Relationships'!$A$1:$Q$58,'Customer Relationships'!$S$1:$AI$58</definedName>
    <definedName name="_xlnm.Print_Area" localSheetId="27">'Dev. Tech. RFR'!$A$1:$N$35</definedName>
    <definedName name="_xlnm.Print_Area" localSheetId="2">Exhibits!$A$1:$O$38</definedName>
    <definedName name="_xlnm.Print_Area" localSheetId="11">'Financial Statements &gt;&gt;'!$A$1:$O$38</definedName>
    <definedName name="_xlnm.Print_Area" localSheetId="13">'Historical BS'!$A$1:$I$47,'Historical BS'!$K$1:$S$47</definedName>
    <definedName name="_xlnm.Print_Area" localSheetId="12">'Historical IS'!$A$1:$I$37,'Historical IS'!$K$1:$S$35</definedName>
    <definedName name="_xlnm.Print_Area" localSheetId="15">'Intangible Asset Valuation &gt;&gt;'!$A$1:$O$38</definedName>
    <definedName name="_xlnm.Print_Area" localSheetId="10">IRR!$A$1:$O$39</definedName>
    <definedName name="_xlnm.Print_Area" localSheetId="18">'Non-Compete Agreement_A'!$A$1:$P$36,'Non-Compete Agreement_A'!$R$1:$AG$36</definedName>
    <definedName name="_xlnm.Print_Area" localSheetId="19">'Non-Compete Agreement_B'!$A$1:$P$36,'Non-Compete Agreement_B'!$R$1:$AF$36</definedName>
    <definedName name="_xlnm.Print_Area" localSheetId="14">PFI!$A$1:$K$42,PFI!$M$1:$W$42</definedName>
    <definedName name="_xlnm.Print_Area" localSheetId="6">'Rates of Return &gt;&gt;'!$A$1:$O$38</definedName>
    <definedName name="_xlnm.Print_Area" localSheetId="31">'Sales Attrition'!$A$1:$L$100</definedName>
    <definedName name="_xlnm.Print_Area" localSheetId="5">'Summary of Values'!$A$1:$G$27</definedName>
    <definedName name="_xlnm.Print_Area" localSheetId="28">'Tech RR Support'!$A$1:$J$27</definedName>
    <definedName name="_xlnm.Print_Area" localSheetId="20">Technology!$A$1:$N$47</definedName>
    <definedName name="_xlnm.Print_Area" localSheetId="4">TOC!$A$1:$G$32</definedName>
    <definedName name="_xlnm.Print_Area" localSheetId="16">'Trade Name and Trademarks'!$A$1:$O$30</definedName>
    <definedName name="_xlnm.Print_Area" localSheetId="17">'Tradename RR Support'!$A$1:$J$29</definedName>
    <definedName name="_xlnm.Print_Area" localSheetId="8">WACC!$A$1:$K$31</definedName>
    <definedName name="_xlnm.Print_Area" localSheetId="7">WARA!$A$1:$H$29</definedName>
    <definedName name="_xlnm.Print_Area" localSheetId="23">'Workpapers &gt;&gt;'!$A$1:$O$38</definedName>
    <definedName name="_xlnm.Print_Titles" localSheetId="30">'Customer Attrition'!$1:$7</definedName>
    <definedName name="_xlnm.Print_Titles" localSheetId="27">'Dev. Tech. RFR'!$1:$6</definedName>
    <definedName name="_xlnm.Print_Titles" localSheetId="18">'Non-Compete Agreement_A'!$1:$5</definedName>
    <definedName name="_xlnm.Print_Titles" localSheetId="19">'Non-Compete Agreement_B'!$1:$5</definedName>
    <definedName name="_xlnm.Print_Titles" localSheetId="14">PFI!$1:$5</definedName>
    <definedName name="_xlnm.Print_Titles" localSheetId="31">'Sales Attrition'!$1:$9</definedName>
    <definedName name="_xlnm.Print_Titles" localSheetId="20">Technology!$1:$6</definedName>
    <definedName name="stub">'Key Inputs and Assumptions'!$C$17</definedName>
    <definedName name="Targ_name">'Key Inputs and Assumptions'!$C$12</definedName>
    <definedName name="tax_rate">'Key Inputs and Assumptions'!$C$21</definedName>
    <definedName name="TTM">'Key Inputs and Assumptions'!$C$15</definedName>
    <definedName name="Val_date">'Key Inputs and Assumptions'!$C$13</definedName>
    <definedName name="valuation_date">'[1]General assumptions'!$C$37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  <c r="H22" i="3" s="1"/>
  <c r="H23" i="3" s="1"/>
  <c r="H24" i="3" s="1"/>
  <c r="H25" i="3" s="1"/>
  <c r="B3" i="35"/>
  <c r="K1" i="35" s="1"/>
  <c r="B38" i="3"/>
  <c r="B37" i="3"/>
  <c r="F95" i="35"/>
  <c r="E95" i="35"/>
  <c r="D95" i="35"/>
  <c r="G91" i="35"/>
  <c r="F91" i="35"/>
  <c r="E91" i="35"/>
  <c r="D91" i="35"/>
  <c r="K90" i="35"/>
  <c r="J90" i="35"/>
  <c r="I90" i="35"/>
  <c r="K89" i="35"/>
  <c r="J89" i="35"/>
  <c r="I89" i="35"/>
  <c r="K88" i="35"/>
  <c r="J88" i="35"/>
  <c r="I88" i="35"/>
  <c r="K87" i="35"/>
  <c r="J87" i="35"/>
  <c r="I87" i="35"/>
  <c r="K86" i="35"/>
  <c r="J86" i="35"/>
  <c r="I86" i="35"/>
  <c r="K85" i="35"/>
  <c r="J85" i="35"/>
  <c r="I85" i="35"/>
  <c r="K84" i="35"/>
  <c r="J84" i="35"/>
  <c r="I84" i="35"/>
  <c r="K83" i="35"/>
  <c r="J83" i="35"/>
  <c r="I83" i="35"/>
  <c r="K82" i="35"/>
  <c r="J82" i="35"/>
  <c r="I82" i="35"/>
  <c r="K81" i="35"/>
  <c r="J81" i="35"/>
  <c r="I81" i="35"/>
  <c r="K80" i="35"/>
  <c r="J80" i="35"/>
  <c r="I80" i="35"/>
  <c r="K79" i="35"/>
  <c r="J79" i="35"/>
  <c r="I79" i="35"/>
  <c r="K78" i="35"/>
  <c r="J78" i="35"/>
  <c r="I78" i="35"/>
  <c r="K77" i="35"/>
  <c r="J77" i="35"/>
  <c r="I77" i="35"/>
  <c r="K76" i="35"/>
  <c r="J76" i="35"/>
  <c r="I76" i="35"/>
  <c r="K75" i="35"/>
  <c r="J75" i="35"/>
  <c r="I75" i="35"/>
  <c r="K74" i="35"/>
  <c r="J74" i="35"/>
  <c r="I74" i="35"/>
  <c r="K73" i="35"/>
  <c r="J73" i="35"/>
  <c r="I73" i="35"/>
  <c r="K72" i="35"/>
  <c r="J72" i="35"/>
  <c r="I72" i="35"/>
  <c r="K71" i="35"/>
  <c r="J71" i="35"/>
  <c r="I71" i="35"/>
  <c r="K70" i="35"/>
  <c r="J70" i="35"/>
  <c r="I70" i="35"/>
  <c r="K69" i="35"/>
  <c r="J69" i="35"/>
  <c r="I69" i="35"/>
  <c r="K68" i="35"/>
  <c r="J68" i="35"/>
  <c r="I68" i="35"/>
  <c r="K67" i="35"/>
  <c r="J67" i="35"/>
  <c r="I67" i="35"/>
  <c r="K66" i="35"/>
  <c r="J66" i="35"/>
  <c r="I66" i="35"/>
  <c r="K65" i="35"/>
  <c r="J65" i="35"/>
  <c r="I65" i="35"/>
  <c r="K64" i="35"/>
  <c r="J64" i="35"/>
  <c r="I64" i="35"/>
  <c r="K63" i="35"/>
  <c r="J63" i="35"/>
  <c r="I63" i="35"/>
  <c r="K62" i="35"/>
  <c r="J62" i="35"/>
  <c r="I62" i="35"/>
  <c r="K61" i="35"/>
  <c r="J61" i="35"/>
  <c r="I61" i="35"/>
  <c r="K60" i="35"/>
  <c r="J60" i="35"/>
  <c r="I60" i="35"/>
  <c r="K59" i="35"/>
  <c r="J59" i="35"/>
  <c r="I59" i="35"/>
  <c r="K58" i="35"/>
  <c r="J58" i="35"/>
  <c r="I58" i="35"/>
  <c r="K57" i="35"/>
  <c r="J57" i="35"/>
  <c r="I57" i="35"/>
  <c r="K56" i="35"/>
  <c r="J56" i="35"/>
  <c r="I56" i="35"/>
  <c r="K55" i="35"/>
  <c r="J55" i="35"/>
  <c r="I55" i="35"/>
  <c r="K54" i="35"/>
  <c r="J54" i="35"/>
  <c r="I54" i="35"/>
  <c r="K53" i="35"/>
  <c r="J53" i="35"/>
  <c r="I53" i="35"/>
  <c r="K52" i="35"/>
  <c r="J52" i="35"/>
  <c r="I52" i="35"/>
  <c r="K51" i="35"/>
  <c r="J51" i="35"/>
  <c r="I51" i="35"/>
  <c r="K50" i="35"/>
  <c r="J50" i="35"/>
  <c r="I50" i="35"/>
  <c r="K49" i="35"/>
  <c r="J49" i="35"/>
  <c r="I49" i="35"/>
  <c r="K48" i="35"/>
  <c r="J48" i="35"/>
  <c r="I48" i="35"/>
  <c r="K47" i="35"/>
  <c r="J47" i="35"/>
  <c r="I47" i="35"/>
  <c r="K46" i="35"/>
  <c r="J46" i="35"/>
  <c r="I46" i="35"/>
  <c r="K45" i="35"/>
  <c r="J45" i="35"/>
  <c r="I45" i="35"/>
  <c r="K44" i="35"/>
  <c r="J44" i="35"/>
  <c r="I44" i="35"/>
  <c r="K43" i="35"/>
  <c r="J43" i="35"/>
  <c r="I43" i="35"/>
  <c r="K42" i="35"/>
  <c r="J42" i="35"/>
  <c r="I42" i="35"/>
  <c r="K41" i="35"/>
  <c r="J41" i="35"/>
  <c r="I41" i="35"/>
  <c r="K40" i="35"/>
  <c r="J40" i="35"/>
  <c r="I40" i="35"/>
  <c r="K39" i="35"/>
  <c r="J39" i="35"/>
  <c r="I39" i="35"/>
  <c r="K38" i="35"/>
  <c r="J38" i="35"/>
  <c r="I38" i="35"/>
  <c r="K37" i="35"/>
  <c r="J37" i="35"/>
  <c r="I37" i="35"/>
  <c r="K36" i="35"/>
  <c r="J36" i="35"/>
  <c r="I36" i="35"/>
  <c r="K35" i="35"/>
  <c r="J35" i="35"/>
  <c r="I35" i="35"/>
  <c r="K34" i="35"/>
  <c r="J34" i="35"/>
  <c r="I34" i="35"/>
  <c r="K33" i="35"/>
  <c r="J33" i="35"/>
  <c r="I33" i="35"/>
  <c r="K32" i="35"/>
  <c r="J32" i="35"/>
  <c r="I32" i="35"/>
  <c r="K31" i="35"/>
  <c r="J31" i="35"/>
  <c r="I31" i="35"/>
  <c r="K30" i="35"/>
  <c r="J30" i="35"/>
  <c r="I30" i="35"/>
  <c r="K29" i="35"/>
  <c r="J29" i="35"/>
  <c r="I29" i="35"/>
  <c r="K28" i="35"/>
  <c r="J28" i="35"/>
  <c r="I28" i="35"/>
  <c r="K27" i="35"/>
  <c r="J27" i="35"/>
  <c r="I27" i="35"/>
  <c r="K26" i="35"/>
  <c r="J26" i="35"/>
  <c r="I26" i="35"/>
  <c r="K25" i="35"/>
  <c r="J25" i="35"/>
  <c r="I25" i="35"/>
  <c r="K24" i="35"/>
  <c r="J24" i="35"/>
  <c r="I24" i="35"/>
  <c r="K23" i="35"/>
  <c r="J23" i="35"/>
  <c r="I23" i="35"/>
  <c r="K22" i="35"/>
  <c r="J22" i="35"/>
  <c r="I22" i="35"/>
  <c r="K21" i="35"/>
  <c r="J21" i="35"/>
  <c r="I21" i="35"/>
  <c r="K20" i="35"/>
  <c r="J20" i="35"/>
  <c r="I20" i="35"/>
  <c r="K19" i="35"/>
  <c r="J19" i="35"/>
  <c r="I19" i="35"/>
  <c r="K18" i="35"/>
  <c r="J18" i="35"/>
  <c r="I18" i="35"/>
  <c r="K17" i="35"/>
  <c r="J17" i="35"/>
  <c r="I17" i="35"/>
  <c r="K16" i="35"/>
  <c r="J16" i="35"/>
  <c r="I16" i="35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J91" i="35" s="1"/>
  <c r="E94" i="35" s="1"/>
  <c r="I11" i="35"/>
  <c r="K10" i="35"/>
  <c r="J10" i="35"/>
  <c r="I10" i="35"/>
  <c r="I91" i="35" s="1"/>
  <c r="D94" i="35" s="1"/>
  <c r="K91" i="35"/>
  <c r="F94" i="35" s="1"/>
  <c r="E9" i="35"/>
  <c r="I9" i="35" s="1"/>
  <c r="D93" i="35" s="1"/>
  <c r="B5" i="35"/>
  <c r="B4" i="35"/>
  <c r="B2" i="35"/>
  <c r="B1" i="35"/>
  <c r="F92" i="34"/>
  <c r="F93" i="34" s="1"/>
  <c r="E92" i="34"/>
  <c r="D92" i="34"/>
  <c r="K89" i="34"/>
  <c r="J89" i="34"/>
  <c r="I89" i="34"/>
  <c r="F89" i="34"/>
  <c r="G89" i="34"/>
  <c r="F91" i="34"/>
  <c r="E91" i="34"/>
  <c r="D91" i="34"/>
  <c r="E89" i="34"/>
  <c r="D89" i="34"/>
  <c r="K88" i="34"/>
  <c r="J88" i="34"/>
  <c r="I88" i="34"/>
  <c r="K87" i="34"/>
  <c r="J87" i="34"/>
  <c r="I87" i="34"/>
  <c r="K86" i="34"/>
  <c r="J86" i="34"/>
  <c r="I86" i="34"/>
  <c r="K85" i="34"/>
  <c r="J85" i="34"/>
  <c r="I85" i="34"/>
  <c r="K84" i="34"/>
  <c r="J84" i="34"/>
  <c r="I84" i="34"/>
  <c r="K83" i="34"/>
  <c r="J83" i="34"/>
  <c r="I83" i="34"/>
  <c r="K82" i="34"/>
  <c r="J82" i="34"/>
  <c r="I82" i="34"/>
  <c r="K81" i="34"/>
  <c r="J81" i="34"/>
  <c r="I81" i="34"/>
  <c r="K80" i="34"/>
  <c r="J80" i="34"/>
  <c r="I80" i="34"/>
  <c r="K79" i="34"/>
  <c r="J79" i="34"/>
  <c r="I79" i="34"/>
  <c r="K78" i="34"/>
  <c r="J78" i="34"/>
  <c r="I78" i="34"/>
  <c r="K77" i="34"/>
  <c r="J77" i="34"/>
  <c r="I77" i="34"/>
  <c r="K76" i="34"/>
  <c r="J76" i="34"/>
  <c r="I76" i="34"/>
  <c r="K75" i="34"/>
  <c r="J75" i="34"/>
  <c r="I75" i="34"/>
  <c r="K74" i="34"/>
  <c r="J74" i="34"/>
  <c r="I74" i="34"/>
  <c r="K73" i="34"/>
  <c r="J73" i="34"/>
  <c r="I73" i="34"/>
  <c r="K72" i="34"/>
  <c r="J72" i="34"/>
  <c r="I72" i="34"/>
  <c r="K71" i="34"/>
  <c r="J71" i="34"/>
  <c r="I71" i="34"/>
  <c r="K70" i="34"/>
  <c r="J70" i="34"/>
  <c r="I70" i="34"/>
  <c r="K69" i="34"/>
  <c r="J69" i="34"/>
  <c r="I69" i="34"/>
  <c r="K68" i="34"/>
  <c r="J68" i="34"/>
  <c r="I68" i="34"/>
  <c r="K67" i="34"/>
  <c r="J67" i="34"/>
  <c r="I67" i="34"/>
  <c r="K66" i="34"/>
  <c r="J66" i="34"/>
  <c r="I66" i="34"/>
  <c r="K65" i="34"/>
  <c r="J65" i="34"/>
  <c r="I65" i="34"/>
  <c r="K64" i="34"/>
  <c r="J64" i="34"/>
  <c r="I64" i="34"/>
  <c r="K63" i="34"/>
  <c r="J63" i="34"/>
  <c r="I63" i="34"/>
  <c r="K62" i="34"/>
  <c r="J62" i="34"/>
  <c r="I62" i="34"/>
  <c r="K61" i="34"/>
  <c r="J61" i="34"/>
  <c r="I61" i="34"/>
  <c r="K60" i="34"/>
  <c r="J60" i="34"/>
  <c r="I60" i="34"/>
  <c r="K59" i="34"/>
  <c r="J59" i="34"/>
  <c r="I59" i="34"/>
  <c r="K58" i="34"/>
  <c r="J58" i="34"/>
  <c r="I58" i="34"/>
  <c r="K57" i="34"/>
  <c r="J57" i="34"/>
  <c r="I57" i="34"/>
  <c r="K56" i="34"/>
  <c r="J56" i="34"/>
  <c r="I56" i="34"/>
  <c r="K55" i="34"/>
  <c r="J55" i="34"/>
  <c r="I55" i="34"/>
  <c r="K54" i="34"/>
  <c r="J54" i="34"/>
  <c r="I54" i="34"/>
  <c r="K53" i="34"/>
  <c r="J53" i="34"/>
  <c r="I53" i="34"/>
  <c r="K52" i="34"/>
  <c r="J52" i="34"/>
  <c r="I52" i="34"/>
  <c r="K51" i="34"/>
  <c r="J51" i="34"/>
  <c r="I51" i="34"/>
  <c r="K50" i="34"/>
  <c r="J50" i="34"/>
  <c r="I50" i="34"/>
  <c r="K49" i="34"/>
  <c r="J49" i="34"/>
  <c r="I49" i="34"/>
  <c r="K48" i="34"/>
  <c r="J48" i="34"/>
  <c r="I48" i="34"/>
  <c r="K47" i="34"/>
  <c r="J47" i="34"/>
  <c r="I47" i="34"/>
  <c r="K46" i="34"/>
  <c r="J46" i="34"/>
  <c r="I46" i="34"/>
  <c r="K45" i="34"/>
  <c r="J45" i="34"/>
  <c r="I45" i="34"/>
  <c r="K44" i="34"/>
  <c r="J44" i="34"/>
  <c r="I44" i="34"/>
  <c r="K43" i="34"/>
  <c r="J43" i="34"/>
  <c r="I43" i="34"/>
  <c r="K42" i="34"/>
  <c r="J42" i="34"/>
  <c r="I42" i="34"/>
  <c r="K41" i="34"/>
  <c r="J41" i="34"/>
  <c r="I41" i="34"/>
  <c r="K40" i="34"/>
  <c r="J40" i="34"/>
  <c r="I40" i="34"/>
  <c r="K39" i="34"/>
  <c r="J39" i="34"/>
  <c r="I39" i="34"/>
  <c r="K38" i="34"/>
  <c r="J38" i="34"/>
  <c r="I38" i="34"/>
  <c r="K37" i="34"/>
  <c r="J37" i="34"/>
  <c r="I37" i="34"/>
  <c r="K36" i="34"/>
  <c r="J36" i="34"/>
  <c r="I36" i="34"/>
  <c r="K35" i="34"/>
  <c r="J35" i="34"/>
  <c r="I35" i="34"/>
  <c r="K34" i="34"/>
  <c r="J34" i="34"/>
  <c r="I34" i="34"/>
  <c r="K33" i="34"/>
  <c r="J33" i="34"/>
  <c r="I33" i="34"/>
  <c r="K32" i="34"/>
  <c r="J32" i="34"/>
  <c r="I32" i="34"/>
  <c r="K31" i="34"/>
  <c r="J31" i="34"/>
  <c r="I31" i="34"/>
  <c r="K30" i="34"/>
  <c r="J30" i="34"/>
  <c r="I30" i="34"/>
  <c r="K29" i="34"/>
  <c r="J29" i="34"/>
  <c r="I29" i="34"/>
  <c r="K28" i="34"/>
  <c r="J28" i="34"/>
  <c r="I28" i="34"/>
  <c r="K27" i="34"/>
  <c r="J27" i="34"/>
  <c r="I27" i="34"/>
  <c r="K26" i="34"/>
  <c r="J26" i="34"/>
  <c r="I26" i="34"/>
  <c r="K25" i="34"/>
  <c r="J25" i="34"/>
  <c r="I25" i="34"/>
  <c r="K24" i="34"/>
  <c r="J24" i="34"/>
  <c r="I24" i="34"/>
  <c r="K23" i="34"/>
  <c r="J23" i="34"/>
  <c r="I23" i="34"/>
  <c r="K22" i="34"/>
  <c r="J22" i="34"/>
  <c r="I22" i="34"/>
  <c r="K21" i="34"/>
  <c r="J21" i="34"/>
  <c r="I21" i="34"/>
  <c r="K20" i="34"/>
  <c r="J20" i="34"/>
  <c r="I20" i="34"/>
  <c r="K19" i="34"/>
  <c r="J19" i="34"/>
  <c r="I19" i="34"/>
  <c r="K18" i="34"/>
  <c r="J18" i="34"/>
  <c r="I18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12" i="34"/>
  <c r="J12" i="34"/>
  <c r="I12" i="34"/>
  <c r="K11" i="34"/>
  <c r="J11" i="34"/>
  <c r="I11" i="34"/>
  <c r="K10" i="34"/>
  <c r="J10" i="34"/>
  <c r="I10" i="34"/>
  <c r="K9" i="34"/>
  <c r="J9" i="34"/>
  <c r="I9" i="34"/>
  <c r="K8" i="34"/>
  <c r="J8" i="34"/>
  <c r="I8" i="34"/>
  <c r="E7" i="34"/>
  <c r="I7" i="34" s="1"/>
  <c r="B3" i="34"/>
  <c r="B5" i="34"/>
  <c r="B4" i="34"/>
  <c r="B2" i="34"/>
  <c r="K1" i="34"/>
  <c r="B1" i="34"/>
  <c r="B36" i="3"/>
  <c r="B35" i="3"/>
  <c r="F8" i="12"/>
  <c r="J51" i="21"/>
  <c r="J50" i="21"/>
  <c r="J49" i="21"/>
  <c r="G51" i="21"/>
  <c r="G50" i="21"/>
  <c r="G49" i="21"/>
  <c r="G55" i="33"/>
  <c r="H55" i="33"/>
  <c r="I55" i="33"/>
  <c r="J55" i="33"/>
  <c r="K55" i="33"/>
  <c r="L55" i="33"/>
  <c r="M55" i="33" s="1"/>
  <c r="N55" i="33" s="1"/>
  <c r="O55" i="33" s="1"/>
  <c r="P55" i="33" s="1"/>
  <c r="X55" i="33" s="1"/>
  <c r="Y55" i="33" s="1"/>
  <c r="Z55" i="33" s="1"/>
  <c r="AA55" i="33" s="1"/>
  <c r="AB55" i="33" s="1"/>
  <c r="AC55" i="33" s="1"/>
  <c r="AD55" i="33" s="1"/>
  <c r="AE55" i="33" s="1"/>
  <c r="AF55" i="33" s="1"/>
  <c r="AG55" i="33" s="1"/>
  <c r="AH55" i="33" s="1"/>
  <c r="F55" i="33"/>
  <c r="G53" i="33"/>
  <c r="H53" i="33" s="1"/>
  <c r="I53" i="33" s="1"/>
  <c r="J53" i="33" s="1"/>
  <c r="K53" i="33" s="1"/>
  <c r="L53" i="33" s="1"/>
  <c r="M53" i="33" s="1"/>
  <c r="N53" i="33" s="1"/>
  <c r="O53" i="33" s="1"/>
  <c r="P53" i="33" s="1"/>
  <c r="X53" i="33" s="1"/>
  <c r="Y53" i="33" s="1"/>
  <c r="Z53" i="33" s="1"/>
  <c r="AA53" i="33" s="1"/>
  <c r="AB53" i="33" s="1"/>
  <c r="AC53" i="33" s="1"/>
  <c r="AD53" i="33" s="1"/>
  <c r="AE53" i="33" s="1"/>
  <c r="AF53" i="33" s="1"/>
  <c r="AG53" i="33" s="1"/>
  <c r="AH53" i="33" s="1"/>
  <c r="L52" i="33"/>
  <c r="M52" i="33" s="1"/>
  <c r="N52" i="33" s="1"/>
  <c r="O52" i="33" s="1"/>
  <c r="P52" i="33" s="1"/>
  <c r="X52" i="33" s="1"/>
  <c r="Y52" i="33" s="1"/>
  <c r="Z52" i="33" s="1"/>
  <c r="AA52" i="33" s="1"/>
  <c r="AB52" i="33" s="1"/>
  <c r="AC52" i="33" s="1"/>
  <c r="AD52" i="33" s="1"/>
  <c r="AE52" i="33" s="1"/>
  <c r="AF52" i="33" s="1"/>
  <c r="AG52" i="33" s="1"/>
  <c r="AH52" i="33" s="1"/>
  <c r="K52" i="33"/>
  <c r="J52" i="33"/>
  <c r="I52" i="33"/>
  <c r="H52" i="33"/>
  <c r="G52" i="33"/>
  <c r="F52" i="33"/>
  <c r="G46" i="33"/>
  <c r="H46" i="33"/>
  <c r="I46" i="33"/>
  <c r="J46" i="33"/>
  <c r="K46" i="33"/>
  <c r="L46" i="33"/>
  <c r="M46" i="33" s="1"/>
  <c r="N46" i="33" s="1"/>
  <c r="O46" i="33" s="1"/>
  <c r="P46" i="33" s="1"/>
  <c r="X46" i="33" s="1"/>
  <c r="Y46" i="33" s="1"/>
  <c r="Z46" i="33" s="1"/>
  <c r="AA46" i="33" s="1"/>
  <c r="AB46" i="33" s="1"/>
  <c r="AC46" i="33" s="1"/>
  <c r="AD46" i="33" s="1"/>
  <c r="AE46" i="33" s="1"/>
  <c r="AF46" i="33" s="1"/>
  <c r="AG46" i="33" s="1"/>
  <c r="AH46" i="33" s="1"/>
  <c r="G48" i="33"/>
  <c r="H48" i="33"/>
  <c r="I48" i="33"/>
  <c r="J48" i="33"/>
  <c r="K48" i="33"/>
  <c r="L48" i="33"/>
  <c r="M48" i="33" s="1"/>
  <c r="N48" i="33" s="1"/>
  <c r="O48" i="33" s="1"/>
  <c r="P48" i="33" s="1"/>
  <c r="X48" i="33" s="1"/>
  <c r="Y48" i="33" s="1"/>
  <c r="Z48" i="33" s="1"/>
  <c r="AA48" i="33" s="1"/>
  <c r="AB48" i="33" s="1"/>
  <c r="AC48" i="33" s="1"/>
  <c r="AD48" i="33" s="1"/>
  <c r="AE48" i="33" s="1"/>
  <c r="AF48" i="33" s="1"/>
  <c r="AG48" i="33" s="1"/>
  <c r="AH48" i="33" s="1"/>
  <c r="G49" i="33"/>
  <c r="H49" i="33"/>
  <c r="I49" i="33"/>
  <c r="J49" i="33"/>
  <c r="K49" i="33"/>
  <c r="L49" i="33"/>
  <c r="M49" i="33" s="1"/>
  <c r="G50" i="33"/>
  <c r="H50" i="33" s="1"/>
  <c r="F49" i="33"/>
  <c r="F51" i="33" s="1"/>
  <c r="F48" i="33"/>
  <c r="F46" i="33"/>
  <c r="E38" i="33"/>
  <c r="T33" i="33"/>
  <c r="W12" i="33"/>
  <c r="W25" i="33"/>
  <c r="I8" i="8"/>
  <c r="J8" i="8" s="1"/>
  <c r="K8" i="8" s="1"/>
  <c r="L8" i="8" s="1"/>
  <c r="M8" i="8" s="1"/>
  <c r="H8" i="8"/>
  <c r="H26" i="8"/>
  <c r="C17" i="2"/>
  <c r="E24" i="33"/>
  <c r="W24" i="33" s="1"/>
  <c r="T35" i="33"/>
  <c r="T34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X8" i="33" s="1"/>
  <c r="Y8" i="33" s="1"/>
  <c r="B3" i="33"/>
  <c r="T3" i="33" s="1"/>
  <c r="B5" i="33"/>
  <c r="T5" i="33" s="1"/>
  <c r="B4" i="33"/>
  <c r="T4" i="33" s="1"/>
  <c r="B2" i="33"/>
  <c r="T2" i="33" s="1"/>
  <c r="B1" i="33"/>
  <c r="T1" i="33" s="1"/>
  <c r="E93" i="34" l="1"/>
  <c r="D93" i="34"/>
  <c r="AH1" i="33"/>
  <c r="C98" i="35"/>
  <c r="C99" i="35"/>
  <c r="J9" i="35"/>
  <c r="E93" i="35" s="1"/>
  <c r="F9" i="35"/>
  <c r="F7" i="34"/>
  <c r="J7" i="34" s="1"/>
  <c r="G51" i="33"/>
  <c r="P1" i="33"/>
  <c r="I50" i="33"/>
  <c r="H51" i="33"/>
  <c r="N49" i="33"/>
  <c r="Z8" i="33"/>
  <c r="Y44" i="33"/>
  <c r="X44" i="33"/>
  <c r="M44" i="33"/>
  <c r="H44" i="33"/>
  <c r="L44" i="33"/>
  <c r="F44" i="33"/>
  <c r="J44" i="33"/>
  <c r="G44" i="33"/>
  <c r="I44" i="33"/>
  <c r="K44" i="33"/>
  <c r="K9" i="35" l="1"/>
  <c r="F93" i="35" s="1"/>
  <c r="G9" i="35"/>
  <c r="C96" i="34"/>
  <c r="C97" i="34"/>
  <c r="G7" i="34"/>
  <c r="K7" i="34" s="1"/>
  <c r="J50" i="33"/>
  <c r="I51" i="33"/>
  <c r="O49" i="33"/>
  <c r="AA8" i="33"/>
  <c r="Z44" i="33"/>
  <c r="N44" i="33"/>
  <c r="K50" i="33" l="1"/>
  <c r="J51" i="33"/>
  <c r="P49" i="33"/>
  <c r="AB8" i="33"/>
  <c r="AA44" i="33"/>
  <c r="P44" i="33"/>
  <c r="O44" i="33"/>
  <c r="X49" i="33" l="1"/>
  <c r="L50" i="33"/>
  <c r="K51" i="33"/>
  <c r="AC8" i="33"/>
  <c r="AB44" i="33"/>
  <c r="Y49" i="33" l="1"/>
  <c r="M50" i="33"/>
  <c r="L51" i="33"/>
  <c r="AD8" i="33"/>
  <c r="AC44" i="33"/>
  <c r="Z49" i="33" l="1"/>
  <c r="N50" i="33"/>
  <c r="M51" i="33"/>
  <c r="AE8" i="33"/>
  <c r="AD44" i="33"/>
  <c r="AA49" i="33" l="1"/>
  <c r="O50" i="33"/>
  <c r="N51" i="33"/>
  <c r="AF8" i="33"/>
  <c r="AE44" i="33"/>
  <c r="P50" i="33" l="1"/>
  <c r="O51" i="33"/>
  <c r="AB49" i="33"/>
  <c r="AG8" i="33"/>
  <c r="AF44" i="33"/>
  <c r="AC49" i="33" l="1"/>
  <c r="X50" i="33"/>
  <c r="P51" i="33"/>
  <c r="AH8" i="33"/>
  <c r="AH44" i="33" s="1"/>
  <c r="AG44" i="33"/>
  <c r="Y50" i="33" l="1"/>
  <c r="X51" i="33"/>
  <c r="AD49" i="33"/>
  <c r="AE49" i="33" l="1"/>
  <c r="Z50" i="33"/>
  <c r="Y51" i="33"/>
  <c r="AA50" i="33" l="1"/>
  <c r="Z51" i="33"/>
  <c r="AF49" i="33"/>
  <c r="AG49" i="33" l="1"/>
  <c r="AB50" i="33"/>
  <c r="AA51" i="33"/>
  <c r="AC50" i="33" l="1"/>
  <c r="AB51" i="33"/>
  <c r="AH49" i="33"/>
  <c r="AD50" i="33" l="1"/>
  <c r="AC51" i="33"/>
  <c r="AE50" i="33" l="1"/>
  <c r="AD51" i="33"/>
  <c r="AF50" i="33" l="1"/>
  <c r="AE51" i="33"/>
  <c r="AG50" i="33" l="1"/>
  <c r="AF51" i="33"/>
  <c r="AH50" i="33" l="1"/>
  <c r="AH51" i="33" s="1"/>
  <c r="AG51" i="33"/>
  <c r="N42" i="7" l="1"/>
  <c r="N41" i="7"/>
  <c r="N40" i="7"/>
  <c r="N5" i="7"/>
  <c r="S5" i="22"/>
  <c r="K7" i="11" l="1"/>
  <c r="E12" i="11" s="1"/>
  <c r="E11" i="11" l="1"/>
  <c r="E10" i="11"/>
  <c r="R21" i="6"/>
  <c r="Q21" i="6"/>
  <c r="P21" i="6"/>
  <c r="O21" i="6"/>
  <c r="N21" i="6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R42" i="14"/>
  <c r="Q42" i="14"/>
  <c r="P42" i="14"/>
  <c r="O42" i="14"/>
  <c r="R40" i="14"/>
  <c r="Q40" i="14"/>
  <c r="P40" i="14"/>
  <c r="O40" i="14"/>
  <c r="R39" i="14"/>
  <c r="Q39" i="14"/>
  <c r="P39" i="14"/>
  <c r="O39" i="14"/>
  <c r="R38" i="14"/>
  <c r="Q38" i="14"/>
  <c r="P38" i="14"/>
  <c r="O38" i="14"/>
  <c r="R37" i="14"/>
  <c r="Q37" i="14"/>
  <c r="P37" i="14"/>
  <c r="O37" i="14"/>
  <c r="R36" i="14"/>
  <c r="Q36" i="14"/>
  <c r="P36" i="14"/>
  <c r="O36" i="14"/>
  <c r="R35" i="14"/>
  <c r="Q35" i="14"/>
  <c r="P35" i="14"/>
  <c r="O35" i="14"/>
  <c r="R34" i="14"/>
  <c r="Q34" i="14"/>
  <c r="P34" i="14"/>
  <c r="O34" i="14"/>
  <c r="R32" i="14"/>
  <c r="Q32" i="14"/>
  <c r="P32" i="14"/>
  <c r="O32" i="14"/>
  <c r="R31" i="14"/>
  <c r="Q31" i="14"/>
  <c r="P31" i="14"/>
  <c r="O31" i="14"/>
  <c r="R30" i="14"/>
  <c r="Q30" i="14"/>
  <c r="P30" i="14"/>
  <c r="O30" i="14"/>
  <c r="R29" i="14"/>
  <c r="Q29" i="14"/>
  <c r="P29" i="14"/>
  <c r="O29" i="14"/>
  <c r="R28" i="14"/>
  <c r="Q28" i="14"/>
  <c r="P28" i="14"/>
  <c r="O28" i="14"/>
  <c r="R27" i="14"/>
  <c r="Q27" i="14"/>
  <c r="P27" i="14"/>
  <c r="O27" i="14"/>
  <c r="R24" i="14"/>
  <c r="Q24" i="14"/>
  <c r="P24" i="14"/>
  <c r="O24" i="14"/>
  <c r="R23" i="14"/>
  <c r="Q23" i="14"/>
  <c r="P23" i="14"/>
  <c r="O23" i="14"/>
  <c r="R22" i="14"/>
  <c r="Q22" i="14"/>
  <c r="P22" i="14"/>
  <c r="O22" i="14"/>
  <c r="R16" i="14"/>
  <c r="Q16" i="14"/>
  <c r="P16" i="14"/>
  <c r="O16" i="14"/>
  <c r="R15" i="14"/>
  <c r="Q15" i="14"/>
  <c r="P15" i="14"/>
  <c r="O15" i="14"/>
  <c r="R14" i="14"/>
  <c r="Q14" i="14"/>
  <c r="P14" i="14"/>
  <c r="O14" i="14"/>
  <c r="R13" i="14"/>
  <c r="Q13" i="14"/>
  <c r="P13" i="14"/>
  <c r="O13" i="14"/>
  <c r="R12" i="14"/>
  <c r="Q12" i="14"/>
  <c r="P12" i="14"/>
  <c r="O12" i="14"/>
  <c r="R11" i="14"/>
  <c r="Q11" i="14"/>
  <c r="P11" i="14"/>
  <c r="O11" i="14"/>
  <c r="N42" i="14"/>
  <c r="N40" i="14"/>
  <c r="N39" i="14"/>
  <c r="N38" i="14"/>
  <c r="N37" i="14"/>
  <c r="N36" i="14"/>
  <c r="N35" i="14"/>
  <c r="N34" i="14"/>
  <c r="N32" i="14"/>
  <c r="N31" i="14"/>
  <c r="N30" i="14"/>
  <c r="N29" i="14"/>
  <c r="N28" i="14"/>
  <c r="N27" i="14"/>
  <c r="N24" i="14"/>
  <c r="N23" i="14"/>
  <c r="N22" i="14"/>
  <c r="N18" i="14"/>
  <c r="N16" i="14"/>
  <c r="N15" i="14"/>
  <c r="N14" i="14"/>
  <c r="N13" i="14"/>
  <c r="N12" i="14"/>
  <c r="N11" i="14"/>
  <c r="H50" i="14" l="1"/>
  <c r="E9" i="4"/>
  <c r="C38" i="2"/>
  <c r="B30" i="1" l="1"/>
  <c r="B29" i="10"/>
  <c r="F10" i="1" l="1"/>
  <c r="F18" i="24" s="1"/>
  <c r="F11" i="1"/>
  <c r="B3" i="26"/>
  <c r="B3" i="25"/>
  <c r="C45" i="2"/>
  <c r="C44" i="2"/>
  <c r="I27" i="19"/>
  <c r="H27" i="19"/>
  <c r="H26" i="19"/>
  <c r="I24" i="19"/>
  <c r="H24" i="19"/>
  <c r="H23" i="19"/>
  <c r="B35" i="22"/>
  <c r="B35" i="9"/>
  <c r="F8" i="9"/>
  <c r="Y16" i="9" s="1"/>
  <c r="F9" i="9"/>
  <c r="B3" i="21"/>
  <c r="B22" i="16"/>
  <c r="B21" i="16"/>
  <c r="B20" i="16"/>
  <c r="B19" i="16"/>
  <c r="B18" i="16"/>
  <c r="B17" i="16"/>
  <c r="F9" i="22"/>
  <c r="F8" i="22"/>
  <c r="Y16" i="22" s="1"/>
  <c r="F46" i="14"/>
  <c r="E46" i="14"/>
  <c r="D46" i="14"/>
  <c r="B30" i="10"/>
  <c r="E10" i="4" l="1"/>
  <c r="M8" i="24" l="1"/>
  <c r="O14" i="22"/>
  <c r="H14" i="22"/>
  <c r="O14" i="9"/>
  <c r="H14" i="9"/>
  <c r="E16" i="4"/>
  <c r="J8" i="10" l="1"/>
  <c r="Q11" i="7"/>
  <c r="R11" i="7" s="1"/>
  <c r="S11" i="7" s="1"/>
  <c r="T11" i="7" s="1"/>
  <c r="U11" i="7" s="1"/>
  <c r="V11" i="7" s="1"/>
  <c r="D12" i="11"/>
  <c r="D21" i="14"/>
  <c r="D23" i="14" s="1"/>
  <c r="E22" i="14"/>
  <c r="L32" i="13"/>
  <c r="AB14" i="26"/>
  <c r="AA13" i="26"/>
  <c r="AB13" i="26"/>
  <c r="AA12" i="26"/>
  <c r="AB11" i="26"/>
  <c r="W19" i="26"/>
  <c r="AB10" i="26"/>
  <c r="Y18" i="26"/>
  <c r="X19" i="26"/>
  <c r="U18" i="26"/>
  <c r="H32" i="26"/>
  <c r="F34" i="26"/>
  <c r="J34" i="26"/>
  <c r="M26" i="26"/>
  <c r="M27" i="26"/>
  <c r="M28" i="26"/>
  <c r="M29" i="26"/>
  <c r="E34" i="26"/>
  <c r="L14" i="26"/>
  <c r="L13" i="26"/>
  <c r="L12" i="26"/>
  <c r="L11" i="26"/>
  <c r="G18" i="26"/>
  <c r="I16" i="26"/>
  <c r="M9" i="26"/>
  <c r="I34" i="26"/>
  <c r="G34" i="26"/>
  <c r="I33" i="26"/>
  <c r="H33" i="26"/>
  <c r="G33" i="26"/>
  <c r="I32" i="26"/>
  <c r="G32" i="26"/>
  <c r="J31" i="26"/>
  <c r="I31" i="26"/>
  <c r="G31" i="26"/>
  <c r="F31" i="26"/>
  <c r="L29" i="26"/>
  <c r="L28" i="26"/>
  <c r="L27" i="26"/>
  <c r="L26" i="26"/>
  <c r="L25" i="26"/>
  <c r="Y19" i="26"/>
  <c r="U19" i="26"/>
  <c r="J19" i="26"/>
  <c r="I19" i="26"/>
  <c r="H19" i="26"/>
  <c r="F19" i="26"/>
  <c r="W18" i="26"/>
  <c r="V18" i="26"/>
  <c r="J18" i="26"/>
  <c r="H18" i="26"/>
  <c r="F18" i="26"/>
  <c r="W17" i="26"/>
  <c r="V17" i="26"/>
  <c r="J17" i="26"/>
  <c r="H17" i="26"/>
  <c r="F17" i="26"/>
  <c r="W16" i="26"/>
  <c r="V16" i="26"/>
  <c r="J16" i="26"/>
  <c r="H16" i="26"/>
  <c r="G16" i="26"/>
  <c r="F16" i="26"/>
  <c r="M14" i="26"/>
  <c r="M13" i="26"/>
  <c r="AB12" i="26"/>
  <c r="M12" i="26"/>
  <c r="AA11" i="26"/>
  <c r="M11" i="26"/>
  <c r="M10" i="26"/>
  <c r="L9" i="26"/>
  <c r="B4" i="26"/>
  <c r="Q4" i="26" s="1"/>
  <c r="B2" i="26"/>
  <c r="Q2" i="26" s="1"/>
  <c r="B1" i="26"/>
  <c r="Q1" i="26" s="1"/>
  <c r="AB29" i="25"/>
  <c r="AA28" i="25"/>
  <c r="AB28" i="25"/>
  <c r="AB27" i="25"/>
  <c r="AA26" i="25"/>
  <c r="AB26" i="25"/>
  <c r="V34" i="25"/>
  <c r="AA24" i="25"/>
  <c r="AB24" i="25"/>
  <c r="AB11" i="25"/>
  <c r="AA11" i="25"/>
  <c r="AB12" i="25"/>
  <c r="AA13" i="25"/>
  <c r="AB14" i="25"/>
  <c r="AB13" i="25"/>
  <c r="AB10" i="25"/>
  <c r="V19" i="25"/>
  <c r="W19" i="25"/>
  <c r="M29" i="25"/>
  <c r="L28" i="25"/>
  <c r="M28" i="25"/>
  <c r="M27" i="25"/>
  <c r="L26" i="25"/>
  <c r="M26" i="25"/>
  <c r="M25" i="25"/>
  <c r="J32" i="25"/>
  <c r="I31" i="25"/>
  <c r="F34" i="25"/>
  <c r="E33" i="25"/>
  <c r="Y34" i="25"/>
  <c r="X34" i="25"/>
  <c r="W34" i="25"/>
  <c r="U34" i="25"/>
  <c r="T34" i="25"/>
  <c r="Y33" i="25"/>
  <c r="W33" i="25"/>
  <c r="V33" i="25"/>
  <c r="U33" i="25"/>
  <c r="Y32" i="25"/>
  <c r="X32" i="25"/>
  <c r="W32" i="25"/>
  <c r="U32" i="25"/>
  <c r="T32" i="25"/>
  <c r="Y31" i="25"/>
  <c r="W31" i="25"/>
  <c r="V31" i="25"/>
  <c r="U31" i="25"/>
  <c r="AA29" i="25"/>
  <c r="AA27" i="25"/>
  <c r="AA25" i="25"/>
  <c r="W17" i="25"/>
  <c r="Q3" i="25"/>
  <c r="H34" i="25"/>
  <c r="I33" i="25"/>
  <c r="H33" i="25"/>
  <c r="H32" i="25"/>
  <c r="J31" i="25"/>
  <c r="H31" i="25"/>
  <c r="L29" i="25"/>
  <c r="L27" i="25"/>
  <c r="L25" i="25"/>
  <c r="L13" i="25"/>
  <c r="L9" i="25"/>
  <c r="T19" i="26" l="1"/>
  <c r="AA10" i="26"/>
  <c r="AA14" i="26"/>
  <c r="V19" i="26"/>
  <c r="X16" i="26"/>
  <c r="X17" i="26"/>
  <c r="X18" i="26"/>
  <c r="AA9" i="26"/>
  <c r="AA19" i="26" s="1"/>
  <c r="U16" i="26"/>
  <c r="Y16" i="26"/>
  <c r="U17" i="26"/>
  <c r="Y17" i="26"/>
  <c r="T17" i="26"/>
  <c r="T18" i="26"/>
  <c r="AB9" i="26"/>
  <c r="AB19" i="26" s="1"/>
  <c r="T16" i="26"/>
  <c r="L24" i="26"/>
  <c r="L32" i="26" s="1"/>
  <c r="F32" i="26"/>
  <c r="J32" i="26"/>
  <c r="H34" i="26"/>
  <c r="H31" i="26"/>
  <c r="F33" i="26"/>
  <c r="J33" i="26"/>
  <c r="M25" i="26"/>
  <c r="L34" i="26"/>
  <c r="E31" i="26"/>
  <c r="E33" i="26"/>
  <c r="M24" i="26"/>
  <c r="E32" i="26"/>
  <c r="M19" i="26"/>
  <c r="I17" i="26"/>
  <c r="E18" i="26"/>
  <c r="I18" i="26"/>
  <c r="G19" i="26"/>
  <c r="L10" i="26"/>
  <c r="L16" i="26" s="1"/>
  <c r="G17" i="26"/>
  <c r="E16" i="26"/>
  <c r="E17" i="26"/>
  <c r="E19" i="26"/>
  <c r="Q3" i="26"/>
  <c r="L31" i="26"/>
  <c r="M16" i="26"/>
  <c r="M17" i="26"/>
  <c r="M18" i="26"/>
  <c r="AA34" i="25"/>
  <c r="AB25" i="25"/>
  <c r="AB34" i="25" s="1"/>
  <c r="T31" i="25"/>
  <c r="X31" i="25"/>
  <c r="V32" i="25"/>
  <c r="T33" i="25"/>
  <c r="X33" i="25"/>
  <c r="W18" i="25"/>
  <c r="Y17" i="25"/>
  <c r="U17" i="25"/>
  <c r="W16" i="25"/>
  <c r="U18" i="25"/>
  <c r="Y18" i="25"/>
  <c r="T18" i="25"/>
  <c r="V16" i="25"/>
  <c r="AA10" i="25"/>
  <c r="AA12" i="25"/>
  <c r="AA14" i="25"/>
  <c r="AA18" i="25" s="1"/>
  <c r="X16" i="25"/>
  <c r="V18" i="25"/>
  <c r="X19" i="25"/>
  <c r="X18" i="25"/>
  <c r="V17" i="25"/>
  <c r="U16" i="25"/>
  <c r="Y16" i="25"/>
  <c r="X17" i="25"/>
  <c r="U19" i="25"/>
  <c r="Y19" i="25"/>
  <c r="AA9" i="25"/>
  <c r="T17" i="25"/>
  <c r="T19" i="25"/>
  <c r="AB9" i="25"/>
  <c r="AB19" i="25" s="1"/>
  <c r="T16" i="25"/>
  <c r="I32" i="25"/>
  <c r="I34" i="25"/>
  <c r="G31" i="25"/>
  <c r="J33" i="25"/>
  <c r="J34" i="25"/>
  <c r="F31" i="25"/>
  <c r="F32" i="25"/>
  <c r="F33" i="25"/>
  <c r="G33" i="25"/>
  <c r="G34" i="25"/>
  <c r="G32" i="25"/>
  <c r="L24" i="25"/>
  <c r="L34" i="25" s="1"/>
  <c r="M24" i="25"/>
  <c r="M34" i="25" s="1"/>
  <c r="E32" i="25"/>
  <c r="E34" i="25"/>
  <c r="E31" i="25"/>
  <c r="AA31" i="25"/>
  <c r="AA32" i="25"/>
  <c r="AA33" i="25"/>
  <c r="AB31" i="25"/>
  <c r="AB32" i="25"/>
  <c r="AB33" i="25"/>
  <c r="L14" i="25"/>
  <c r="I18" i="25"/>
  <c r="H16" i="25"/>
  <c r="G19" i="25"/>
  <c r="M12" i="25"/>
  <c r="J18" i="25"/>
  <c r="J17" i="25"/>
  <c r="I16" i="25"/>
  <c r="G17" i="25"/>
  <c r="L12" i="25"/>
  <c r="J19" i="25"/>
  <c r="H18" i="25"/>
  <c r="I17" i="25"/>
  <c r="G16" i="25"/>
  <c r="I19" i="25"/>
  <c r="G18" i="25"/>
  <c r="H17" i="25"/>
  <c r="J16" i="25"/>
  <c r="M13" i="25"/>
  <c r="F16" i="25"/>
  <c r="L11" i="25"/>
  <c r="L10" i="25"/>
  <c r="H19" i="25"/>
  <c r="M10" i="25"/>
  <c r="M14" i="25"/>
  <c r="F19" i="25"/>
  <c r="M11" i="25"/>
  <c r="F18" i="25"/>
  <c r="F17" i="25"/>
  <c r="E16" i="25"/>
  <c r="E19" i="25"/>
  <c r="E18" i="25"/>
  <c r="M9" i="25"/>
  <c r="E17" i="25"/>
  <c r="L33" i="26" l="1"/>
  <c r="M34" i="26"/>
  <c r="AB18" i="26"/>
  <c r="AB16" i="26"/>
  <c r="AB17" i="26"/>
  <c r="AA16" i="26"/>
  <c r="AA18" i="26"/>
  <c r="AA17" i="26"/>
  <c r="M33" i="26"/>
  <c r="M32" i="26"/>
  <c r="M31" i="26"/>
  <c r="L17" i="26"/>
  <c r="L19" i="26"/>
  <c r="L18" i="26"/>
  <c r="AA16" i="25"/>
  <c r="AB18" i="25"/>
  <c r="AA17" i="25"/>
  <c r="AA19" i="25"/>
  <c r="AB16" i="25"/>
  <c r="AB17" i="25"/>
  <c r="L33" i="25"/>
  <c r="M31" i="25"/>
  <c r="L32" i="25"/>
  <c r="M32" i="25"/>
  <c r="L31" i="25"/>
  <c r="M33" i="25"/>
  <c r="M17" i="25"/>
  <c r="L19" i="25"/>
  <c r="L18" i="25"/>
  <c r="L16" i="25"/>
  <c r="L17" i="25"/>
  <c r="M16" i="25"/>
  <c r="M18" i="25"/>
  <c r="M19" i="25"/>
  <c r="B4" i="25" l="1"/>
  <c r="Q4" i="25" s="1"/>
  <c r="B2" i="25"/>
  <c r="Q2" i="25" s="1"/>
  <c r="B1" i="25"/>
  <c r="Q1" i="25" s="1"/>
  <c r="M38" i="24" l="1"/>
  <c r="L38" i="24"/>
  <c r="K38" i="24"/>
  <c r="J38" i="24"/>
  <c r="I38" i="24"/>
  <c r="H38" i="24"/>
  <c r="G44" i="24"/>
  <c r="G42" i="24"/>
  <c r="G41" i="24"/>
  <c r="G40" i="24"/>
  <c r="G38" i="24"/>
  <c r="F20" i="24"/>
  <c r="G8" i="24"/>
  <c r="B5" i="24"/>
  <c r="B4" i="24"/>
  <c r="B3" i="24"/>
  <c r="B2" i="24"/>
  <c r="B1" i="24"/>
  <c r="S35" i="9"/>
  <c r="S35" i="22"/>
  <c r="Q16" i="7"/>
  <c r="R16" i="7" s="1"/>
  <c r="S16" i="7" s="1"/>
  <c r="T16" i="7" s="1"/>
  <c r="U16" i="7" s="1"/>
  <c r="V16" i="7" s="1"/>
  <c r="Q15" i="7"/>
  <c r="R15" i="7" s="1"/>
  <c r="S15" i="7" s="1"/>
  <c r="T15" i="7" s="1"/>
  <c r="U15" i="7" s="1"/>
  <c r="V15" i="7" s="1"/>
  <c r="M44" i="24" s="1"/>
  <c r="Q13" i="7"/>
  <c r="R13" i="7" s="1"/>
  <c r="S13" i="7" s="1"/>
  <c r="T13" i="7" s="1"/>
  <c r="U13" i="7" s="1"/>
  <c r="V13" i="7" s="1"/>
  <c r="M41" i="24" s="1"/>
  <c r="Q14" i="7"/>
  <c r="R14" i="7" s="1"/>
  <c r="S14" i="7" s="1"/>
  <c r="T14" i="7" s="1"/>
  <c r="U14" i="7" s="1"/>
  <c r="V14" i="7" s="1"/>
  <c r="M42" i="24" s="1"/>
  <c r="Q12" i="7"/>
  <c r="R12" i="7" s="1"/>
  <c r="S12" i="7" s="1"/>
  <c r="T12" i="7" s="1"/>
  <c r="U12" i="7" s="1"/>
  <c r="V12" i="7" s="1"/>
  <c r="M40" i="24" s="1"/>
  <c r="L29" i="6"/>
  <c r="L28" i="6"/>
  <c r="L26" i="6"/>
  <c r="L25" i="6"/>
  <c r="L24" i="6"/>
  <c r="L22" i="6"/>
  <c r="L21" i="6"/>
  <c r="L20" i="6"/>
  <c r="L19" i="6"/>
  <c r="L18" i="6"/>
  <c r="L17" i="6"/>
  <c r="L15" i="6"/>
  <c r="L14" i="6"/>
  <c r="L13" i="6"/>
  <c r="L12" i="6"/>
  <c r="L11" i="6"/>
  <c r="L10" i="6"/>
  <c r="H21" i="6"/>
  <c r="G21" i="6"/>
  <c r="F21" i="6"/>
  <c r="E21" i="6"/>
  <c r="D21" i="6"/>
  <c r="E33" i="6"/>
  <c r="F33" i="6"/>
  <c r="G33" i="6"/>
  <c r="G32" i="6"/>
  <c r="F32" i="6"/>
  <c r="E32" i="6"/>
  <c r="H38" i="14"/>
  <c r="F38" i="14"/>
  <c r="L35" i="14"/>
  <c r="L36" i="14"/>
  <c r="L37" i="14"/>
  <c r="D32" i="14"/>
  <c r="L29" i="14"/>
  <c r="L28" i="14"/>
  <c r="E20" i="14"/>
  <c r="L21" i="14"/>
  <c r="F19" i="21"/>
  <c r="L20" i="14"/>
  <c r="L19" i="14"/>
  <c r="L13" i="14"/>
  <c r="L12" i="14"/>
  <c r="L42" i="14"/>
  <c r="L40" i="14"/>
  <c r="L39" i="14"/>
  <c r="L38" i="14"/>
  <c r="L34" i="14"/>
  <c r="L33" i="14"/>
  <c r="L32" i="14"/>
  <c r="L31" i="14"/>
  <c r="L30" i="14"/>
  <c r="L27" i="14"/>
  <c r="L26" i="14"/>
  <c r="L24" i="14"/>
  <c r="L23" i="14"/>
  <c r="L22" i="14"/>
  <c r="L18" i="14"/>
  <c r="L17" i="14"/>
  <c r="L16" i="14"/>
  <c r="L15" i="14"/>
  <c r="L14" i="14"/>
  <c r="L11" i="14"/>
  <c r="L10" i="14"/>
  <c r="G13" i="6"/>
  <c r="Q25" i="6" s="1"/>
  <c r="F13" i="6"/>
  <c r="P18" i="6" s="1"/>
  <c r="E13" i="6"/>
  <c r="O25" i="6" s="1"/>
  <c r="D13" i="6"/>
  <c r="N18" i="6" s="1"/>
  <c r="R8" i="6"/>
  <c r="Q8" i="6"/>
  <c r="P8" i="6" s="1"/>
  <c r="O8" i="6" s="1"/>
  <c r="N8" i="6" s="1"/>
  <c r="R7" i="6"/>
  <c r="B3" i="22"/>
  <c r="S34" i="22"/>
  <c r="V30" i="22"/>
  <c r="W30" i="22" s="1"/>
  <c r="X30" i="22" s="1"/>
  <c r="Y30" i="22" s="1"/>
  <c r="V29" i="22"/>
  <c r="W29" i="22" s="1"/>
  <c r="X29" i="22" s="1"/>
  <c r="Y29" i="22" s="1"/>
  <c r="V25" i="22"/>
  <c r="W25" i="22" s="1"/>
  <c r="X25" i="22" s="1"/>
  <c r="Y25" i="22" s="1"/>
  <c r="L14" i="22"/>
  <c r="M14" i="22" s="1"/>
  <c r="N14" i="22" s="1"/>
  <c r="E14" i="22"/>
  <c r="F14" i="22" s="1"/>
  <c r="B5" i="22"/>
  <c r="B4" i="22"/>
  <c r="S4" i="22" s="1"/>
  <c r="B2" i="22"/>
  <c r="S2" i="22" s="1"/>
  <c r="B1" i="22"/>
  <c r="S1" i="22" s="1"/>
  <c r="F8" i="21"/>
  <c r="G8" i="21" s="1"/>
  <c r="H8" i="21" s="1"/>
  <c r="I8" i="21" s="1"/>
  <c r="J8" i="21" s="1"/>
  <c r="K8" i="21" s="1"/>
  <c r="L8" i="21" s="1"/>
  <c r="M8" i="21" s="1"/>
  <c r="B5" i="21"/>
  <c r="B4" i="21"/>
  <c r="B2" i="21"/>
  <c r="B1" i="21"/>
  <c r="D38" i="14"/>
  <c r="D16" i="14"/>
  <c r="S34" i="9"/>
  <c r="B3" i="19"/>
  <c r="I28" i="19"/>
  <c r="H28" i="19"/>
  <c r="I26" i="19"/>
  <c r="I25" i="19"/>
  <c r="H25" i="19"/>
  <c r="I23" i="19"/>
  <c r="B5" i="19"/>
  <c r="B4" i="19"/>
  <c r="B2" i="19"/>
  <c r="B1" i="19"/>
  <c r="I23" i="18"/>
  <c r="I24" i="18"/>
  <c r="I25" i="18"/>
  <c r="I26" i="18"/>
  <c r="H26" i="18"/>
  <c r="H25" i="18"/>
  <c r="H24" i="18"/>
  <c r="H23" i="18"/>
  <c r="B5" i="18"/>
  <c r="B4" i="18"/>
  <c r="B3" i="18"/>
  <c r="B2" i="18"/>
  <c r="B1" i="18"/>
  <c r="J14" i="17"/>
  <c r="N14" i="17" s="1"/>
  <c r="J13" i="17"/>
  <c r="N13" i="17" s="1"/>
  <c r="J12" i="17"/>
  <c r="N12" i="17" s="1"/>
  <c r="J11" i="17"/>
  <c r="N11" i="17" s="1"/>
  <c r="J10" i="17"/>
  <c r="J9" i="17"/>
  <c r="N9" i="17" s="1"/>
  <c r="B3" i="17"/>
  <c r="B5" i="17"/>
  <c r="B4" i="17"/>
  <c r="B2" i="17"/>
  <c r="B1" i="17"/>
  <c r="O25" i="16"/>
  <c r="E18" i="16"/>
  <c r="E19" i="16"/>
  <c r="E20" i="16"/>
  <c r="E21" i="16"/>
  <c r="E22" i="16"/>
  <c r="E17" i="16"/>
  <c r="D23" i="16"/>
  <c r="F14" i="16"/>
  <c r="F13" i="16"/>
  <c r="F12" i="16"/>
  <c r="F11" i="16"/>
  <c r="J11" i="16" s="1"/>
  <c r="F19" i="16" s="1"/>
  <c r="F10" i="16"/>
  <c r="J10" i="16" s="1"/>
  <c r="F18" i="16" s="1"/>
  <c r="F9" i="16"/>
  <c r="B3" i="16"/>
  <c r="B5" i="16"/>
  <c r="B4" i="16"/>
  <c r="B2" i="16"/>
  <c r="B1" i="16"/>
  <c r="S3" i="22" l="1"/>
  <c r="K42" i="24"/>
  <c r="F20" i="14"/>
  <c r="E21" i="14"/>
  <c r="E23" i="14" s="1"/>
  <c r="K44" i="24"/>
  <c r="H44" i="24"/>
  <c r="L44" i="24"/>
  <c r="I44" i="24"/>
  <c r="J44" i="24"/>
  <c r="H8" i="24"/>
  <c r="H36" i="24" s="1"/>
  <c r="G36" i="24"/>
  <c r="N10" i="17"/>
  <c r="J17" i="17"/>
  <c r="J16" i="17"/>
  <c r="H41" i="24"/>
  <c r="I41" i="24"/>
  <c r="L41" i="24"/>
  <c r="J41" i="24"/>
  <c r="K41" i="24"/>
  <c r="H42" i="24"/>
  <c r="L42" i="24"/>
  <c r="I42" i="24"/>
  <c r="J42" i="24"/>
  <c r="I40" i="24"/>
  <c r="K40" i="24"/>
  <c r="H40" i="24"/>
  <c r="L40" i="24"/>
  <c r="J40" i="24"/>
  <c r="G16" i="14"/>
  <c r="D39" i="14"/>
  <c r="D45" i="14"/>
  <c r="H13" i="6"/>
  <c r="Q24" i="6"/>
  <c r="P25" i="6"/>
  <c r="P20" i="6"/>
  <c r="P24" i="6"/>
  <c r="P19" i="6"/>
  <c r="Q12" i="6"/>
  <c r="Q14" i="6"/>
  <c r="Q20" i="6"/>
  <c r="Q19" i="6"/>
  <c r="Q11" i="6"/>
  <c r="Q13" i="6"/>
  <c r="Q18" i="6"/>
  <c r="N14" i="6"/>
  <c r="N13" i="6"/>
  <c r="N12" i="6"/>
  <c r="N19" i="6"/>
  <c r="N20" i="6"/>
  <c r="N24" i="6"/>
  <c r="N25" i="6"/>
  <c r="N11" i="6"/>
  <c r="G34" i="6"/>
  <c r="F34" i="6"/>
  <c r="P11" i="6"/>
  <c r="O12" i="6"/>
  <c r="P12" i="6"/>
  <c r="P13" i="6"/>
  <c r="P14" i="6"/>
  <c r="O19" i="6"/>
  <c r="O13" i="6"/>
  <c r="O20" i="6"/>
  <c r="O14" i="6"/>
  <c r="O24" i="6"/>
  <c r="O11" i="6"/>
  <c r="O18" i="6"/>
  <c r="F26" i="22"/>
  <c r="M26" i="22" s="1"/>
  <c r="G14" i="22"/>
  <c r="D24" i="14"/>
  <c r="N17" i="17"/>
  <c r="N16" i="17"/>
  <c r="G18" i="16"/>
  <c r="G19" i="16"/>
  <c r="J12" i="16"/>
  <c r="F20" i="16" s="1"/>
  <c r="G20" i="16" s="1"/>
  <c r="J13" i="16"/>
  <c r="F21" i="16" s="1"/>
  <c r="G21" i="16" s="1"/>
  <c r="J14" i="16"/>
  <c r="F22" i="16" s="1"/>
  <c r="G22" i="16" s="1"/>
  <c r="J9" i="16"/>
  <c r="F17" i="16" s="1"/>
  <c r="G17" i="16" s="1"/>
  <c r="L14" i="9"/>
  <c r="M14" i="9" s="1"/>
  <c r="N14" i="9" s="1"/>
  <c r="E14" i="9"/>
  <c r="F14" i="9" s="1"/>
  <c r="G14" i="9" s="1"/>
  <c r="B1" i="9"/>
  <c r="S1" i="9" s="1"/>
  <c r="B2" i="9"/>
  <c r="S2" i="9" s="1"/>
  <c r="B3" i="9"/>
  <c r="B4" i="9"/>
  <c r="S4" i="9" s="1"/>
  <c r="B5" i="9"/>
  <c r="S5" i="9" s="1"/>
  <c r="H7" i="14"/>
  <c r="H8" i="14"/>
  <c r="G38" i="14"/>
  <c r="E38" i="14"/>
  <c r="H32" i="14"/>
  <c r="G32" i="14"/>
  <c r="F32" i="14"/>
  <c r="E32" i="14"/>
  <c r="H16" i="14"/>
  <c r="F16" i="14"/>
  <c r="E16" i="14"/>
  <c r="B3" i="14"/>
  <c r="L3" i="14" s="1"/>
  <c r="G8" i="14"/>
  <c r="F8" i="14" s="1"/>
  <c r="E8" i="14" s="1"/>
  <c r="D8" i="14" s="1"/>
  <c r="B5" i="14"/>
  <c r="L5" i="14" s="1"/>
  <c r="B4" i="14"/>
  <c r="L4" i="14" s="1"/>
  <c r="B2" i="14"/>
  <c r="L2" i="14" s="1"/>
  <c r="B1" i="14"/>
  <c r="L1" i="14" s="1"/>
  <c r="S3" i="9" l="1"/>
  <c r="I8" i="24"/>
  <c r="I36" i="24" s="1"/>
  <c r="H26" i="24"/>
  <c r="G20" i="14"/>
  <c r="F21" i="14"/>
  <c r="F23" i="14" s="1"/>
  <c r="I26" i="24"/>
  <c r="E8" i="10"/>
  <c r="E9" i="10" s="1"/>
  <c r="R19" i="6"/>
  <c r="R20" i="6"/>
  <c r="R14" i="6"/>
  <c r="V14" i="6" s="1"/>
  <c r="R12" i="6"/>
  <c r="D42" i="14"/>
  <c r="H39" i="14"/>
  <c r="H45" i="14"/>
  <c r="H46" i="14" s="1"/>
  <c r="E14" i="4" s="1"/>
  <c r="E24" i="14"/>
  <c r="F24" i="14"/>
  <c r="G45" i="14"/>
  <c r="G46" i="14" s="1"/>
  <c r="R18" i="6"/>
  <c r="U18" i="6" s="1"/>
  <c r="R11" i="6"/>
  <c r="R13" i="6"/>
  <c r="R24" i="6"/>
  <c r="R25" i="6"/>
  <c r="H26" i="22"/>
  <c r="G26" i="22"/>
  <c r="G23" i="16"/>
  <c r="E25" i="16" s="1"/>
  <c r="E45" i="14"/>
  <c r="F39" i="14"/>
  <c r="F45" i="14"/>
  <c r="G39" i="14"/>
  <c r="E39" i="14"/>
  <c r="J8" i="24" l="1"/>
  <c r="J26" i="24" s="1"/>
  <c r="H20" i="14"/>
  <c r="H21" i="14" s="1"/>
  <c r="G21" i="14"/>
  <c r="G23" i="14" s="1"/>
  <c r="J36" i="24"/>
  <c r="P43" i="7"/>
  <c r="T33" i="8"/>
  <c r="V24" i="6"/>
  <c r="U24" i="6"/>
  <c r="V20" i="6"/>
  <c r="U20" i="6"/>
  <c r="U19" i="6"/>
  <c r="V19" i="6"/>
  <c r="V25" i="6"/>
  <c r="U25" i="6"/>
  <c r="U14" i="6"/>
  <c r="V18" i="6"/>
  <c r="D51" i="14"/>
  <c r="F42" i="14"/>
  <c r="E42" i="14"/>
  <c r="G42" i="14"/>
  <c r="D52" i="14"/>
  <c r="H42" i="14"/>
  <c r="O26" i="22"/>
  <c r="N26" i="22"/>
  <c r="E26" i="16"/>
  <c r="B18" i="13"/>
  <c r="B20" i="13"/>
  <c r="B17" i="13"/>
  <c r="B27" i="10"/>
  <c r="B28" i="10"/>
  <c r="B26" i="10"/>
  <c r="F26" i="11"/>
  <c r="B3" i="11"/>
  <c r="B3" i="12"/>
  <c r="F23" i="12"/>
  <c r="G11" i="12"/>
  <c r="B5" i="12"/>
  <c r="B4" i="12"/>
  <c r="B2" i="12"/>
  <c r="B1" i="12"/>
  <c r="B5" i="11"/>
  <c r="B4" i="11"/>
  <c r="B2" i="11"/>
  <c r="B1" i="11"/>
  <c r="E14" i="10"/>
  <c r="E15" i="10"/>
  <c r="B3" i="10"/>
  <c r="B5" i="10"/>
  <c r="B4" i="10"/>
  <c r="B2" i="10"/>
  <c r="B1" i="10"/>
  <c r="G15" i="6"/>
  <c r="G22" i="6" s="1"/>
  <c r="E15" i="6"/>
  <c r="D15" i="6"/>
  <c r="D22" i="6" s="1"/>
  <c r="H15" i="6"/>
  <c r="F15" i="6"/>
  <c r="F22" i="6" s="1"/>
  <c r="N35" i="8"/>
  <c r="N36" i="8" s="1"/>
  <c r="V30" i="9"/>
  <c r="W30" i="9" s="1"/>
  <c r="X30" i="9" s="1"/>
  <c r="V29" i="9"/>
  <c r="W29" i="9" s="1"/>
  <c r="X29" i="9" s="1"/>
  <c r="Y29" i="9" s="1"/>
  <c r="V25" i="9"/>
  <c r="W25" i="9" s="1"/>
  <c r="X25" i="9" s="1"/>
  <c r="Y25" i="9" s="1"/>
  <c r="G50" i="8"/>
  <c r="D8" i="7"/>
  <c r="G8" i="8"/>
  <c r="B3" i="8"/>
  <c r="B5" i="8"/>
  <c r="B4" i="8"/>
  <c r="B2" i="8"/>
  <c r="B1" i="8"/>
  <c r="G8" i="1"/>
  <c r="H8" i="1" s="1"/>
  <c r="I8" i="1" s="1"/>
  <c r="F13" i="1"/>
  <c r="B3" i="1"/>
  <c r="B3" i="7"/>
  <c r="C28" i="7"/>
  <c r="F18" i="8" s="1"/>
  <c r="E27" i="33" s="1"/>
  <c r="W27" i="33" s="1"/>
  <c r="B5" i="7"/>
  <c r="B4" i="7"/>
  <c r="N4" i="7" s="1"/>
  <c r="B2" i="7"/>
  <c r="N2" i="7" s="1"/>
  <c r="B1" i="7"/>
  <c r="N1" i="7" s="1"/>
  <c r="E34" i="6"/>
  <c r="C28" i="6"/>
  <c r="H8" i="6"/>
  <c r="H7" i="6"/>
  <c r="G8" i="6"/>
  <c r="F8" i="6" s="1"/>
  <c r="E8" i="6" s="1"/>
  <c r="D8" i="6" s="1"/>
  <c r="B3" i="6"/>
  <c r="L3" i="6" s="1"/>
  <c r="B5" i="6"/>
  <c r="L5" i="6" s="1"/>
  <c r="B4" i="6"/>
  <c r="L4" i="6" s="1"/>
  <c r="B2" i="6"/>
  <c r="L2" i="6" s="1"/>
  <c r="B1" i="6"/>
  <c r="L1" i="6" s="1"/>
  <c r="B5" i="1"/>
  <c r="B4" i="1"/>
  <c r="B2" i="1"/>
  <c r="B1" i="1"/>
  <c r="B5" i="4"/>
  <c r="B4" i="4"/>
  <c r="B3" i="4"/>
  <c r="B2" i="4"/>
  <c r="B1" i="4"/>
  <c r="H10" i="3"/>
  <c r="H11" i="3" s="1"/>
  <c r="B7" i="3"/>
  <c r="B2" i="3"/>
  <c r="B1" i="3"/>
  <c r="N3" i="7" l="1"/>
  <c r="K8" i="24"/>
  <c r="K26" i="24" s="1"/>
  <c r="F1" i="4"/>
  <c r="E24" i="21"/>
  <c r="E14" i="21"/>
  <c r="G24" i="14"/>
  <c r="E15" i="4"/>
  <c r="E17" i="4" s="1"/>
  <c r="H23" i="14"/>
  <c r="D11" i="11"/>
  <c r="D11" i="7"/>
  <c r="G26" i="24"/>
  <c r="D12" i="7"/>
  <c r="E12" i="7" s="1"/>
  <c r="F12" i="7" s="1"/>
  <c r="G12" i="7" s="1"/>
  <c r="H12" i="7" s="1"/>
  <c r="I12" i="7" s="1"/>
  <c r="J12" i="7" s="1"/>
  <c r="T32" i="8"/>
  <c r="T34" i="8" s="1"/>
  <c r="H50" i="8"/>
  <c r="I50" i="8" s="1"/>
  <c r="J50" i="8" s="1"/>
  <c r="K50" i="8" s="1"/>
  <c r="L50" i="8" s="1"/>
  <c r="M50" i="8" s="1"/>
  <c r="N50" i="8" s="1"/>
  <c r="O15" i="6"/>
  <c r="E22" i="6"/>
  <c r="H22" i="6"/>
  <c r="R22" i="6" s="1"/>
  <c r="E8" i="7"/>
  <c r="P8" i="7"/>
  <c r="P21" i="7"/>
  <c r="G52" i="14"/>
  <c r="E52" i="14"/>
  <c r="G51" i="14"/>
  <c r="F51" i="14"/>
  <c r="F52" i="14"/>
  <c r="E51" i="14"/>
  <c r="F50" i="14"/>
  <c r="P15" i="6"/>
  <c r="G50" i="14"/>
  <c r="Q15" i="6"/>
  <c r="R15" i="6"/>
  <c r="D50" i="14"/>
  <c r="N15" i="6"/>
  <c r="G26" i="12"/>
  <c r="G27" i="12" s="1"/>
  <c r="E26" i="22"/>
  <c r="D20" i="9"/>
  <c r="D20" i="22"/>
  <c r="H16" i="1"/>
  <c r="E50" i="14"/>
  <c r="J8" i="1"/>
  <c r="J16" i="1" s="1"/>
  <c r="I16" i="1"/>
  <c r="G26" i="8"/>
  <c r="G27" i="8" s="1"/>
  <c r="G16" i="1"/>
  <c r="G18" i="1" s="1"/>
  <c r="E26" i="9"/>
  <c r="E27" i="9" s="1"/>
  <c r="L27" i="9" s="1"/>
  <c r="E16" i="10"/>
  <c r="G20" i="10" s="1"/>
  <c r="G13" i="12"/>
  <c r="H12" i="12" s="1"/>
  <c r="J10" i="10"/>
  <c r="H11" i="12"/>
  <c r="P22" i="6"/>
  <c r="Y30" i="9"/>
  <c r="F26" i="9"/>
  <c r="M26" i="9" s="1"/>
  <c r="G26" i="9"/>
  <c r="N26" i="9" s="1"/>
  <c r="B11" i="3"/>
  <c r="J1" i="10" s="1"/>
  <c r="H12" i="3"/>
  <c r="H13" i="3" s="1"/>
  <c r="B10" i="3"/>
  <c r="G1" i="11" s="1"/>
  <c r="K36" i="24" l="1"/>
  <c r="L8" i="24"/>
  <c r="L36" i="24" s="1"/>
  <c r="H24" i="14"/>
  <c r="G28" i="12"/>
  <c r="G28" i="24"/>
  <c r="G27" i="24"/>
  <c r="D13" i="7"/>
  <c r="E11" i="7"/>
  <c r="G9" i="24"/>
  <c r="L26" i="24"/>
  <c r="T35" i="8"/>
  <c r="D10" i="11"/>
  <c r="D13" i="11" s="1"/>
  <c r="F8" i="7"/>
  <c r="Q8" i="7"/>
  <c r="Q21" i="7"/>
  <c r="G35" i="6"/>
  <c r="O22" i="6"/>
  <c r="F35" i="6"/>
  <c r="E35" i="6"/>
  <c r="G26" i="6"/>
  <c r="Q22" i="6"/>
  <c r="V22" i="6" s="1"/>
  <c r="D26" i="6"/>
  <c r="D28" i="6" s="1"/>
  <c r="N22" i="6"/>
  <c r="E28" i="22"/>
  <c r="L28" i="22" s="1"/>
  <c r="E27" i="22"/>
  <c r="L26" i="22"/>
  <c r="G14" i="12"/>
  <c r="G17" i="1"/>
  <c r="H17" i="1" s="1"/>
  <c r="I17" i="1" s="1"/>
  <c r="J18" i="1" s="1"/>
  <c r="E28" i="9"/>
  <c r="L28" i="9" s="1"/>
  <c r="L26" i="9"/>
  <c r="G28" i="8"/>
  <c r="H27" i="8"/>
  <c r="K8" i="1"/>
  <c r="K16" i="1" s="1"/>
  <c r="H13" i="12"/>
  <c r="I12" i="12" s="1"/>
  <c r="I11" i="12"/>
  <c r="I26" i="12" s="1"/>
  <c r="H26" i="12"/>
  <c r="H26" i="6"/>
  <c r="R26" i="6" s="1"/>
  <c r="F26" i="6"/>
  <c r="P26" i="6" s="1"/>
  <c r="F27" i="9"/>
  <c r="H26" i="9"/>
  <c r="O26" i="9" s="1"/>
  <c r="F28" i="9"/>
  <c r="M28" i="9" s="1"/>
  <c r="H28" i="8"/>
  <c r="B12" i="3"/>
  <c r="N1" i="17" s="1"/>
  <c r="E26" i="6"/>
  <c r="H29" i="8" l="1"/>
  <c r="G33" i="33"/>
  <c r="I26" i="8"/>
  <c r="I27" i="8" s="1"/>
  <c r="G29" i="8"/>
  <c r="F33" i="33"/>
  <c r="H51" i="14"/>
  <c r="I2" i="14" s="1"/>
  <c r="H52" i="14"/>
  <c r="D26" i="11"/>
  <c r="D19" i="7"/>
  <c r="D14" i="7"/>
  <c r="G9" i="1"/>
  <c r="D24" i="7"/>
  <c r="D25" i="7"/>
  <c r="D20" i="7"/>
  <c r="D18" i="7"/>
  <c r="D32" i="7"/>
  <c r="D33" i="7" s="1"/>
  <c r="G22" i="8" s="1"/>
  <c r="G9" i="8"/>
  <c r="F10" i="33" s="1"/>
  <c r="G16" i="12"/>
  <c r="G17" i="12" s="1"/>
  <c r="G18" i="12" s="1"/>
  <c r="D31" i="7"/>
  <c r="G23" i="8" s="1"/>
  <c r="G16" i="24"/>
  <c r="G22" i="24" s="1"/>
  <c r="G10" i="24"/>
  <c r="G11" i="24" s="1"/>
  <c r="G13" i="24"/>
  <c r="G14" i="24"/>
  <c r="G12" i="24"/>
  <c r="H27" i="24"/>
  <c r="H28" i="24"/>
  <c r="F11" i="7"/>
  <c r="H9" i="24"/>
  <c r="H37" i="24" s="1"/>
  <c r="M26" i="24"/>
  <c r="M36" i="24"/>
  <c r="U22" i="6"/>
  <c r="G8" i="7"/>
  <c r="R21" i="7"/>
  <c r="R8" i="7"/>
  <c r="G36" i="6"/>
  <c r="O26" i="6"/>
  <c r="F36" i="6"/>
  <c r="E36" i="6"/>
  <c r="G28" i="6"/>
  <c r="Q26" i="6"/>
  <c r="V26" i="6" s="1"/>
  <c r="D29" i="6"/>
  <c r="N29" i="6" s="1"/>
  <c r="N28" i="6"/>
  <c r="N26" i="6"/>
  <c r="J17" i="1"/>
  <c r="K18" i="1" s="1"/>
  <c r="L27" i="22"/>
  <c r="F28" i="22"/>
  <c r="M28" i="22" s="1"/>
  <c r="F27" i="22"/>
  <c r="I18" i="1"/>
  <c r="H18" i="1"/>
  <c r="G28" i="9"/>
  <c r="N28" i="9" s="1"/>
  <c r="M27" i="9"/>
  <c r="L8" i="1"/>
  <c r="L16" i="1" s="1"/>
  <c r="H14" i="12"/>
  <c r="I13" i="12"/>
  <c r="J12" i="12" s="1"/>
  <c r="H27" i="12"/>
  <c r="I28" i="12" s="1"/>
  <c r="H28" i="12"/>
  <c r="J11" i="12"/>
  <c r="J26" i="12" s="1"/>
  <c r="F28" i="6"/>
  <c r="H28" i="6"/>
  <c r="G27" i="9"/>
  <c r="K17" i="1"/>
  <c r="H16" i="3"/>
  <c r="B13" i="3"/>
  <c r="N1" i="8" s="1"/>
  <c r="E28" i="6"/>
  <c r="F12" i="33" l="1"/>
  <c r="F13" i="33" s="1"/>
  <c r="G20" i="12"/>
  <c r="G21" i="12"/>
  <c r="I28" i="8"/>
  <c r="J26" i="8"/>
  <c r="F20" i="21"/>
  <c r="G49" i="8"/>
  <c r="G10" i="1"/>
  <c r="G11" i="1"/>
  <c r="I27" i="24"/>
  <c r="I28" i="24"/>
  <c r="G39" i="24"/>
  <c r="G15" i="24"/>
  <c r="G11" i="7"/>
  <c r="I9" i="24"/>
  <c r="I37" i="24" s="1"/>
  <c r="E16" i="9"/>
  <c r="E23" i="9" s="1"/>
  <c r="E16" i="22"/>
  <c r="F9" i="21"/>
  <c r="F13" i="21" s="1"/>
  <c r="F14" i="21" s="1"/>
  <c r="F15" i="21" s="1"/>
  <c r="U26" i="6"/>
  <c r="H8" i="7"/>
  <c r="S8" i="7"/>
  <c r="S21" i="7"/>
  <c r="H29" i="6"/>
  <c r="R29" i="6" s="1"/>
  <c r="R28" i="6"/>
  <c r="E29" i="6"/>
  <c r="O29" i="6" s="1"/>
  <c r="O28" i="6"/>
  <c r="F29" i="6"/>
  <c r="P29" i="6" s="1"/>
  <c r="P28" i="6"/>
  <c r="G29" i="6"/>
  <c r="Q29" i="6" s="1"/>
  <c r="Q28" i="6"/>
  <c r="G28" i="22"/>
  <c r="N28" i="22" s="1"/>
  <c r="G27" i="22"/>
  <c r="M27" i="22"/>
  <c r="H27" i="9"/>
  <c r="O27" i="9" s="1"/>
  <c r="N27" i="9"/>
  <c r="M8" i="1"/>
  <c r="M16" i="1" s="1"/>
  <c r="H28" i="9"/>
  <c r="I27" i="12"/>
  <c r="J27" i="12" s="1"/>
  <c r="I14" i="12"/>
  <c r="J13" i="12"/>
  <c r="K12" i="12" s="1"/>
  <c r="K11" i="12"/>
  <c r="K26" i="12" s="1"/>
  <c r="J27" i="8"/>
  <c r="J28" i="8"/>
  <c r="L17" i="1"/>
  <c r="L18" i="1"/>
  <c r="H17" i="3"/>
  <c r="B16" i="3"/>
  <c r="F22" i="33" l="1"/>
  <c r="F29" i="33" s="1"/>
  <c r="F17" i="33"/>
  <c r="G10" i="33"/>
  <c r="F20" i="33"/>
  <c r="I29" i="8"/>
  <c r="H33" i="33"/>
  <c r="J29" i="8"/>
  <c r="I33" i="33"/>
  <c r="F18" i="33"/>
  <c r="F14" i="33"/>
  <c r="F25" i="33" s="1"/>
  <c r="F19" i="33"/>
  <c r="F24" i="33"/>
  <c r="G22" i="12"/>
  <c r="K26" i="8"/>
  <c r="K28" i="8" s="1"/>
  <c r="H11" i="7"/>
  <c r="J9" i="24"/>
  <c r="J37" i="24" s="1"/>
  <c r="L16" i="22"/>
  <c r="E24" i="22"/>
  <c r="J27" i="24"/>
  <c r="J28" i="24"/>
  <c r="E23" i="22"/>
  <c r="L16" i="9"/>
  <c r="E24" i="9"/>
  <c r="G12" i="1"/>
  <c r="G13" i="1" s="1"/>
  <c r="G14" i="1" s="1"/>
  <c r="I8" i="7"/>
  <c r="T8" i="7"/>
  <c r="T21" i="7"/>
  <c r="R1" i="6"/>
  <c r="H1" i="6"/>
  <c r="H28" i="22"/>
  <c r="N27" i="22"/>
  <c r="H27" i="22"/>
  <c r="O27" i="22" s="1"/>
  <c r="O28" i="9"/>
  <c r="J28" i="12"/>
  <c r="J14" i="12"/>
  <c r="K13" i="12"/>
  <c r="L12" i="12" s="1"/>
  <c r="K27" i="12"/>
  <c r="K28" i="12"/>
  <c r="L11" i="12"/>
  <c r="L26" i="12" s="1"/>
  <c r="M17" i="1"/>
  <c r="M18" i="1"/>
  <c r="B17" i="3"/>
  <c r="H18" i="3"/>
  <c r="K29" i="8" l="1"/>
  <c r="J33" i="33"/>
  <c r="F16" i="33"/>
  <c r="K27" i="8"/>
  <c r="L28" i="8" s="1"/>
  <c r="L26" i="8"/>
  <c r="L24" i="9"/>
  <c r="L23" i="9"/>
  <c r="L23" i="22"/>
  <c r="L24" i="22"/>
  <c r="K28" i="24"/>
  <c r="K27" i="24"/>
  <c r="K9" i="24"/>
  <c r="K37" i="24" s="1"/>
  <c r="I11" i="7"/>
  <c r="G17" i="24"/>
  <c r="G18" i="24" s="1"/>
  <c r="G43" i="24"/>
  <c r="J8" i="7"/>
  <c r="U8" i="7"/>
  <c r="U21" i="7"/>
  <c r="R1" i="14"/>
  <c r="H1" i="14"/>
  <c r="O28" i="22"/>
  <c r="L27" i="8"/>
  <c r="L27" i="12"/>
  <c r="K14" i="12"/>
  <c r="L13" i="12"/>
  <c r="M12" i="12" s="1"/>
  <c r="M14" i="12" s="1"/>
  <c r="M11" i="12"/>
  <c r="M26" i="12" s="1"/>
  <c r="L28" i="12"/>
  <c r="M26" i="8"/>
  <c r="B18" i="3"/>
  <c r="L29" i="8" l="1"/>
  <c r="K33" i="33"/>
  <c r="F47" i="33"/>
  <c r="F21" i="33"/>
  <c r="J1" i="7"/>
  <c r="V1" i="7"/>
  <c r="J11" i="7"/>
  <c r="M9" i="24" s="1"/>
  <c r="L9" i="24"/>
  <c r="L37" i="24" s="1"/>
  <c r="L28" i="24"/>
  <c r="L27" i="24"/>
  <c r="G45" i="24"/>
  <c r="G19" i="24"/>
  <c r="V21" i="7"/>
  <c r="V8" i="7"/>
  <c r="M27" i="8"/>
  <c r="L14" i="12"/>
  <c r="M27" i="12"/>
  <c r="M28" i="12"/>
  <c r="M28" i="8"/>
  <c r="B21" i="3"/>
  <c r="M29" i="8" l="1"/>
  <c r="L33" i="33"/>
  <c r="M33" i="33" s="1"/>
  <c r="N33" i="33" s="1"/>
  <c r="O33" i="33" s="1"/>
  <c r="P33" i="33" s="1"/>
  <c r="X33" i="33" s="1"/>
  <c r="Y33" i="33" s="1"/>
  <c r="Z33" i="33" s="1"/>
  <c r="AA33" i="33" s="1"/>
  <c r="AB33" i="33" s="1"/>
  <c r="AC33" i="33" s="1"/>
  <c r="AD33" i="33" s="1"/>
  <c r="AE33" i="33" s="1"/>
  <c r="AF33" i="33" s="1"/>
  <c r="AG33" i="33" s="1"/>
  <c r="AH33" i="33" s="1"/>
  <c r="F23" i="33"/>
  <c r="F54" i="33"/>
  <c r="B22" i="3"/>
  <c r="I1" i="19" s="1"/>
  <c r="B23" i="3"/>
  <c r="H26" i="3"/>
  <c r="M27" i="24"/>
  <c r="M28" i="24"/>
  <c r="M37" i="24"/>
  <c r="G20" i="24"/>
  <c r="G21" i="24" s="1"/>
  <c r="N1" i="1"/>
  <c r="H27" i="3"/>
  <c r="B25" i="3"/>
  <c r="B24" i="3"/>
  <c r="F56" i="33" l="1"/>
  <c r="F26" i="33"/>
  <c r="F27" i="33" s="1"/>
  <c r="F28" i="33" s="1"/>
  <c r="O1" i="22"/>
  <c r="AF1" i="22"/>
  <c r="O1" i="9"/>
  <c r="AF1" i="9"/>
  <c r="M1" i="12"/>
  <c r="M1" i="24"/>
  <c r="B29" i="1"/>
  <c r="I1" i="18"/>
  <c r="B26" i="3"/>
  <c r="J1" i="16" s="1"/>
  <c r="H30" i="3" l="1"/>
  <c r="B27" i="3"/>
  <c r="M1" i="21" s="1"/>
  <c r="B30" i="3" l="1"/>
  <c r="H31" i="3"/>
  <c r="M1" i="25" l="1"/>
  <c r="AB1" i="25"/>
  <c r="B31" i="3"/>
  <c r="M1" i="26" l="1"/>
  <c r="AB1" i="26"/>
  <c r="E13" i="7"/>
  <c r="E20" i="7" l="1"/>
  <c r="E25" i="7"/>
  <c r="E14" i="7"/>
  <c r="H10" i="8" s="1"/>
  <c r="E19" i="7"/>
  <c r="E24" i="7"/>
  <c r="E18" i="7"/>
  <c r="Q22" i="7"/>
  <c r="G45" i="33" s="1"/>
  <c r="G11" i="33" s="1"/>
  <c r="H16" i="12"/>
  <c r="H17" i="12" s="1"/>
  <c r="H18" i="12" s="1"/>
  <c r="H21" i="12" s="1"/>
  <c r="E32" i="7"/>
  <c r="E33" i="7" s="1"/>
  <c r="H22" i="8" s="1"/>
  <c r="E31" i="7"/>
  <c r="H23" i="8" s="1"/>
  <c r="H9" i="8"/>
  <c r="F16" i="22" s="1"/>
  <c r="H9" i="1"/>
  <c r="G12" i="33" l="1"/>
  <c r="G13" i="33" s="1"/>
  <c r="H20" i="12"/>
  <c r="H22" i="12" s="1"/>
  <c r="E15" i="7"/>
  <c r="Q23" i="7" s="1"/>
  <c r="H14" i="24"/>
  <c r="H10" i="24"/>
  <c r="H11" i="24" s="1"/>
  <c r="H16" i="24"/>
  <c r="H22" i="24" s="1"/>
  <c r="H13" i="24"/>
  <c r="H12" i="24"/>
  <c r="G9" i="21"/>
  <c r="H42" i="8"/>
  <c r="H43" i="8"/>
  <c r="F16" i="9"/>
  <c r="H11" i="8"/>
  <c r="H11" i="1"/>
  <c r="H10" i="1"/>
  <c r="H49" i="8"/>
  <c r="G20" i="21"/>
  <c r="G17" i="33" l="1"/>
  <c r="G14" i="33"/>
  <c r="G24" i="33"/>
  <c r="G19" i="33"/>
  <c r="H10" i="33"/>
  <c r="G22" i="33"/>
  <c r="G29" i="33" s="1"/>
  <c r="G20" i="33"/>
  <c r="G18" i="33"/>
  <c r="H15" i="24"/>
  <c r="H39" i="24"/>
  <c r="E21" i="7"/>
  <c r="F24" i="22"/>
  <c r="F23" i="22"/>
  <c r="M16" i="22"/>
  <c r="H44" i="8"/>
  <c r="F24" i="9"/>
  <c r="M16" i="9"/>
  <c r="F23" i="9"/>
  <c r="H12" i="1"/>
  <c r="G13" i="21"/>
  <c r="G14" i="21" s="1"/>
  <c r="G15" i="21" s="1"/>
  <c r="G16" i="33" l="1"/>
  <c r="G25" i="33"/>
  <c r="H17" i="24"/>
  <c r="H18" i="24" s="1"/>
  <c r="H43" i="24"/>
  <c r="H12" i="8"/>
  <c r="Q24" i="7"/>
  <c r="E22" i="7"/>
  <c r="Q25" i="7" s="1"/>
  <c r="H13" i="1"/>
  <c r="H14" i="1" s="1"/>
  <c r="M24" i="22"/>
  <c r="M23" i="22"/>
  <c r="M24" i="9"/>
  <c r="M23" i="9"/>
  <c r="G47" i="33" l="1"/>
  <c r="G21" i="33"/>
  <c r="H19" i="24"/>
  <c r="H23" i="12"/>
  <c r="H24" i="12" s="1"/>
  <c r="H45" i="24"/>
  <c r="H45" i="8"/>
  <c r="H13" i="8"/>
  <c r="G23" i="33" l="1"/>
  <c r="G54" i="33"/>
  <c r="H20" i="24"/>
  <c r="H21" i="24" s="1"/>
  <c r="G10" i="21"/>
  <c r="H46" i="8"/>
  <c r="W27" i="22"/>
  <c r="W27" i="9"/>
  <c r="G56" i="33" l="1"/>
  <c r="G26" i="33"/>
  <c r="G27" i="33" s="1"/>
  <c r="G28" i="33" s="1"/>
  <c r="W26" i="22"/>
  <c r="W26" i="9"/>
  <c r="F13" i="7"/>
  <c r="F14" i="7" l="1"/>
  <c r="I10" i="8" s="1"/>
  <c r="F25" i="7"/>
  <c r="F19" i="7"/>
  <c r="F24" i="7"/>
  <c r="F20" i="7"/>
  <c r="F18" i="7"/>
  <c r="R22" i="7"/>
  <c r="H45" i="33" s="1"/>
  <c r="H11" i="33" s="1"/>
  <c r="F17" i="22"/>
  <c r="M17" i="22"/>
  <c r="F17" i="9"/>
  <c r="M17" i="9"/>
  <c r="F32" i="7"/>
  <c r="F33" i="7" s="1"/>
  <c r="I22" i="8" s="1"/>
  <c r="F31" i="7"/>
  <c r="I23" i="8" s="1"/>
  <c r="I16" i="12"/>
  <c r="I17" i="12" s="1"/>
  <c r="I18" i="12" s="1"/>
  <c r="I9" i="8"/>
  <c r="G16" i="22" s="1"/>
  <c r="I9" i="1"/>
  <c r="H12" i="33" l="1"/>
  <c r="H13" i="33" s="1"/>
  <c r="I20" i="12"/>
  <c r="I22" i="12" s="1"/>
  <c r="I21" i="12"/>
  <c r="F15" i="7"/>
  <c r="R23" i="7" s="1"/>
  <c r="I16" i="24"/>
  <c r="I22" i="24" s="1"/>
  <c r="I14" i="24"/>
  <c r="I13" i="24"/>
  <c r="I10" i="24"/>
  <c r="I11" i="24" s="1"/>
  <c r="I12" i="24"/>
  <c r="H20" i="21"/>
  <c r="I49" i="8"/>
  <c r="I11" i="1"/>
  <c r="I10" i="1"/>
  <c r="H9" i="21"/>
  <c r="I11" i="8"/>
  <c r="I43" i="8"/>
  <c r="I42" i="8"/>
  <c r="G16" i="9"/>
  <c r="I10" i="33" l="1"/>
  <c r="H17" i="33"/>
  <c r="H19" i="33"/>
  <c r="H22" i="33"/>
  <c r="H29" i="33" s="1"/>
  <c r="H14" i="33"/>
  <c r="H25" i="33" s="1"/>
  <c r="H18" i="33"/>
  <c r="H20" i="33"/>
  <c r="H24" i="33"/>
  <c r="H16" i="33"/>
  <c r="I15" i="24"/>
  <c r="I39" i="24"/>
  <c r="F21" i="7"/>
  <c r="F22" i="7" s="1"/>
  <c r="R25" i="7" s="1"/>
  <c r="I12" i="1"/>
  <c r="I13" i="1" s="1"/>
  <c r="I14" i="1" s="1"/>
  <c r="G24" i="22"/>
  <c r="G23" i="22"/>
  <c r="N16" i="22"/>
  <c r="H13" i="21"/>
  <c r="H14" i="21" s="1"/>
  <c r="H15" i="21" s="1"/>
  <c r="G23" i="9"/>
  <c r="N16" i="9"/>
  <c r="G24" i="9"/>
  <c r="I44" i="8"/>
  <c r="H47" i="33" l="1"/>
  <c r="H21" i="33"/>
  <c r="I17" i="24"/>
  <c r="I18" i="24" s="1"/>
  <c r="I43" i="24"/>
  <c r="I23" i="12"/>
  <c r="I24" i="12" s="1"/>
  <c r="R24" i="7"/>
  <c r="I12" i="8"/>
  <c r="N23" i="22"/>
  <c r="N24" i="22"/>
  <c r="N24" i="9"/>
  <c r="N23" i="9"/>
  <c r="H23" i="33" l="1"/>
  <c r="H54" i="33"/>
  <c r="I19" i="24"/>
  <c r="I45" i="24"/>
  <c r="I45" i="8"/>
  <c r="I13" i="8"/>
  <c r="H56" i="33" l="1"/>
  <c r="H26" i="33"/>
  <c r="H27" i="33" s="1"/>
  <c r="H28" i="33" s="1"/>
  <c r="I20" i="24"/>
  <c r="I21" i="24" s="1"/>
  <c r="I46" i="8"/>
  <c r="H10" i="21"/>
  <c r="X27" i="22"/>
  <c r="X27" i="9"/>
  <c r="X26" i="9" l="1"/>
  <c r="X26" i="22"/>
  <c r="J13" i="7"/>
  <c r="H13" i="7"/>
  <c r="G13" i="7"/>
  <c r="I13" i="7"/>
  <c r="J14" i="7" l="1"/>
  <c r="M10" i="8" s="1"/>
  <c r="J25" i="7"/>
  <c r="J19" i="7"/>
  <c r="J24" i="7"/>
  <c r="J20" i="7"/>
  <c r="J18" i="7"/>
  <c r="I20" i="7"/>
  <c r="I25" i="7"/>
  <c r="I14" i="7"/>
  <c r="L10" i="8" s="1"/>
  <c r="I19" i="7"/>
  <c r="I24" i="7"/>
  <c r="I18" i="7"/>
  <c r="H19" i="7"/>
  <c r="H24" i="7"/>
  <c r="H20" i="7"/>
  <c r="H18" i="7"/>
  <c r="H14" i="7"/>
  <c r="K10" i="8" s="1"/>
  <c r="H25" i="7"/>
  <c r="G19" i="7"/>
  <c r="G24" i="7"/>
  <c r="G20" i="7"/>
  <c r="G25" i="7"/>
  <c r="G14" i="7"/>
  <c r="J10" i="8" s="1"/>
  <c r="G18" i="7"/>
  <c r="S22" i="7"/>
  <c r="I45" i="33" s="1"/>
  <c r="I11" i="33" s="1"/>
  <c r="T22" i="7"/>
  <c r="J45" i="33" s="1"/>
  <c r="V22" i="7"/>
  <c r="L45" i="33" s="1"/>
  <c r="M45" i="33" s="1"/>
  <c r="N45" i="33" s="1"/>
  <c r="O45" i="33" s="1"/>
  <c r="P45" i="33" s="1"/>
  <c r="X45" i="33" s="1"/>
  <c r="Y45" i="33" s="1"/>
  <c r="Z45" i="33" s="1"/>
  <c r="AA45" i="33" s="1"/>
  <c r="AB45" i="33" s="1"/>
  <c r="AC45" i="33" s="1"/>
  <c r="AD45" i="33" s="1"/>
  <c r="AE45" i="33" s="1"/>
  <c r="AF45" i="33" s="1"/>
  <c r="AG45" i="33" s="1"/>
  <c r="AH45" i="33" s="1"/>
  <c r="U22" i="7"/>
  <c r="K45" i="33" s="1"/>
  <c r="G17" i="22"/>
  <c r="N17" i="22"/>
  <c r="G17" i="9"/>
  <c r="N17" i="9"/>
  <c r="K16" i="12"/>
  <c r="K17" i="12" s="1"/>
  <c r="K18" i="12" s="1"/>
  <c r="M9" i="1"/>
  <c r="M11" i="1" s="1"/>
  <c r="K9" i="1"/>
  <c r="K10" i="1" s="1"/>
  <c r="M9" i="8"/>
  <c r="M43" i="8" s="1"/>
  <c r="G32" i="7"/>
  <c r="G33" i="7" s="1"/>
  <c r="J22" i="8" s="1"/>
  <c r="J16" i="12"/>
  <c r="J17" i="12" s="1"/>
  <c r="J18" i="12" s="1"/>
  <c r="J9" i="8"/>
  <c r="G31" i="7"/>
  <c r="J23" i="8" s="1"/>
  <c r="J9" i="1"/>
  <c r="I31" i="7"/>
  <c r="L23" i="8" s="1"/>
  <c r="I32" i="7"/>
  <c r="I15" i="7"/>
  <c r="L9" i="1"/>
  <c r="L16" i="12"/>
  <c r="L17" i="12" s="1"/>
  <c r="L18" i="12" s="1"/>
  <c r="L9" i="8"/>
  <c r="K9" i="8"/>
  <c r="J32" i="7"/>
  <c r="J31" i="7"/>
  <c r="M23" i="8" s="1"/>
  <c r="H32" i="7"/>
  <c r="H31" i="7"/>
  <c r="K23" i="8" s="1"/>
  <c r="M16" i="12"/>
  <c r="M17" i="12" s="1"/>
  <c r="M18" i="12" s="1"/>
  <c r="I12" i="33" l="1"/>
  <c r="I13" i="33" s="1"/>
  <c r="M20" i="12"/>
  <c r="M22" i="12" s="1"/>
  <c r="M21" i="12"/>
  <c r="L20" i="12"/>
  <c r="L22" i="12" s="1"/>
  <c r="L21" i="12"/>
  <c r="J20" i="12"/>
  <c r="J22" i="12" s="1"/>
  <c r="J21" i="12"/>
  <c r="K20" i="12"/>
  <c r="K22" i="12" s="1"/>
  <c r="K21" i="12"/>
  <c r="H16" i="9"/>
  <c r="H16" i="22"/>
  <c r="H15" i="7"/>
  <c r="T23" i="7" s="1"/>
  <c r="J15" i="7"/>
  <c r="V23" i="7" s="1"/>
  <c r="H33" i="7"/>
  <c r="K22" i="8" s="1"/>
  <c r="G15" i="7"/>
  <c r="S23" i="7" s="1"/>
  <c r="L14" i="24"/>
  <c r="L13" i="24"/>
  <c r="L10" i="24"/>
  <c r="L11" i="24" s="1"/>
  <c r="L16" i="24"/>
  <c r="L22" i="24" s="1"/>
  <c r="L12" i="24"/>
  <c r="M12" i="24"/>
  <c r="M16" i="24"/>
  <c r="M22" i="24" s="1"/>
  <c r="M10" i="24"/>
  <c r="M11" i="24" s="1"/>
  <c r="M13" i="24"/>
  <c r="M14" i="24"/>
  <c r="J10" i="24"/>
  <c r="J11" i="24" s="1"/>
  <c r="J39" i="24" s="1"/>
  <c r="J13" i="24"/>
  <c r="J14" i="24"/>
  <c r="J12" i="24"/>
  <c r="J16" i="24"/>
  <c r="J22" i="24" s="1"/>
  <c r="K13" i="24"/>
  <c r="K14" i="24"/>
  <c r="K10" i="24"/>
  <c r="K11" i="24" s="1"/>
  <c r="K16" i="24"/>
  <c r="K22" i="24" s="1"/>
  <c r="K12" i="24"/>
  <c r="N9" i="1"/>
  <c r="N10" i="1" s="1"/>
  <c r="M10" i="1"/>
  <c r="M12" i="1" s="1"/>
  <c r="K11" i="1"/>
  <c r="K12" i="1" s="1"/>
  <c r="J33" i="7"/>
  <c r="M22" i="8" s="1"/>
  <c r="U23" i="7"/>
  <c r="N9" i="8"/>
  <c r="N42" i="8" s="1"/>
  <c r="L9" i="21"/>
  <c r="M11" i="8"/>
  <c r="M44" i="8" s="1"/>
  <c r="J20" i="21"/>
  <c r="K49" i="8"/>
  <c r="L42" i="8"/>
  <c r="L43" i="8"/>
  <c r="L11" i="8"/>
  <c r="K9" i="21"/>
  <c r="L49" i="8"/>
  <c r="K20" i="21"/>
  <c r="J11" i="1"/>
  <c r="J10" i="1"/>
  <c r="M42" i="8"/>
  <c r="I9" i="21"/>
  <c r="J42" i="8"/>
  <c r="J43" i="8"/>
  <c r="J11" i="8"/>
  <c r="I20" i="21"/>
  <c r="J49" i="8"/>
  <c r="L11" i="1"/>
  <c r="L10" i="1"/>
  <c r="L20" i="21"/>
  <c r="M49" i="8"/>
  <c r="K43" i="8"/>
  <c r="K11" i="8"/>
  <c r="K42" i="8"/>
  <c r="J9" i="21"/>
  <c r="I33" i="7"/>
  <c r="L22" i="8" s="1"/>
  <c r="I17" i="33" l="1"/>
  <c r="I18" i="33"/>
  <c r="I24" i="33"/>
  <c r="I20" i="33"/>
  <c r="I19" i="33"/>
  <c r="I14" i="33"/>
  <c r="I25" i="33" s="1"/>
  <c r="I22" i="33"/>
  <c r="I29" i="33" s="1"/>
  <c r="J10" i="33"/>
  <c r="L39" i="24"/>
  <c r="L15" i="24"/>
  <c r="N11" i="1"/>
  <c r="N12" i="1" s="1"/>
  <c r="N13" i="1" s="1"/>
  <c r="N14" i="1" s="1"/>
  <c r="N24" i="1" s="1"/>
  <c r="J15" i="24"/>
  <c r="K39" i="24"/>
  <c r="K15" i="24"/>
  <c r="M39" i="24"/>
  <c r="M15" i="24"/>
  <c r="N23" i="8"/>
  <c r="N49" i="8" s="1"/>
  <c r="H21" i="7"/>
  <c r="H22" i="7" s="1"/>
  <c r="T25" i="7" s="1"/>
  <c r="G21" i="7"/>
  <c r="G22" i="7" s="1"/>
  <c r="S25" i="7" s="1"/>
  <c r="L13" i="21"/>
  <c r="L14" i="21" s="1"/>
  <c r="L15" i="21" s="1"/>
  <c r="N10" i="8"/>
  <c r="N43" i="8" s="1"/>
  <c r="N22" i="8"/>
  <c r="I21" i="7"/>
  <c r="J21" i="7"/>
  <c r="M9" i="21"/>
  <c r="L12" i="1"/>
  <c r="L13" i="1" s="1"/>
  <c r="L14" i="1" s="1"/>
  <c r="J13" i="21"/>
  <c r="J14" i="21" s="1"/>
  <c r="J15" i="21" s="1"/>
  <c r="H23" i="22"/>
  <c r="H24" i="22"/>
  <c r="O16" i="22"/>
  <c r="L44" i="8"/>
  <c r="H24" i="9"/>
  <c r="H23" i="9"/>
  <c r="O16" i="9"/>
  <c r="I13" i="21"/>
  <c r="I14" i="21" s="1"/>
  <c r="I15" i="21" s="1"/>
  <c r="K13" i="21"/>
  <c r="K14" i="21" s="1"/>
  <c r="K15" i="21" s="1"/>
  <c r="K44" i="8"/>
  <c r="M13" i="1"/>
  <c r="M14" i="1" s="1"/>
  <c r="K13" i="1"/>
  <c r="K14" i="1" s="1"/>
  <c r="J44" i="8"/>
  <c r="J12" i="1"/>
  <c r="I16" i="33" l="1"/>
  <c r="J11" i="33"/>
  <c r="J12" i="33" s="1"/>
  <c r="J13" i="33"/>
  <c r="M20" i="21"/>
  <c r="M17" i="24"/>
  <c r="M18" i="24" s="1"/>
  <c r="M43" i="24"/>
  <c r="J17" i="24"/>
  <c r="J43" i="24"/>
  <c r="K17" i="24"/>
  <c r="K18" i="24" s="1"/>
  <c r="K43" i="24"/>
  <c r="L43" i="24"/>
  <c r="L17" i="24"/>
  <c r="L18" i="24" s="1"/>
  <c r="J12" i="8"/>
  <c r="J45" i="8" s="1"/>
  <c r="Y27" i="22" s="1"/>
  <c r="M13" i="21"/>
  <c r="M14" i="21" s="1"/>
  <c r="M15" i="21" s="1"/>
  <c r="F16" i="21" s="1"/>
  <c r="J23" i="12"/>
  <c r="J24" i="12" s="1"/>
  <c r="K23" i="12"/>
  <c r="K24" i="12" s="1"/>
  <c r="N15" i="8"/>
  <c r="M21" i="21" s="1"/>
  <c r="T24" i="7"/>
  <c r="K12" i="8"/>
  <c r="K45" i="8" s="1"/>
  <c r="S24" i="7"/>
  <c r="N11" i="8"/>
  <c r="N44" i="8" s="1"/>
  <c r="M12" i="8"/>
  <c r="V24" i="7"/>
  <c r="J22" i="7"/>
  <c r="V25" i="7" s="1"/>
  <c r="L12" i="8"/>
  <c r="U24" i="7"/>
  <c r="I22" i="7"/>
  <c r="U25" i="7" s="1"/>
  <c r="O23" i="22"/>
  <c r="O24" i="22"/>
  <c r="J13" i="1"/>
  <c r="J14" i="1" s="1"/>
  <c r="O24" i="9"/>
  <c r="O23" i="9"/>
  <c r="J22" i="33" l="1"/>
  <c r="J29" i="33" s="1"/>
  <c r="J24" i="33"/>
  <c r="J17" i="33"/>
  <c r="K10" i="33"/>
  <c r="J19" i="33"/>
  <c r="J18" i="33"/>
  <c r="J14" i="33"/>
  <c r="J25" i="33" s="1"/>
  <c r="J20" i="33"/>
  <c r="J16" i="33"/>
  <c r="I47" i="33"/>
  <c r="I21" i="33"/>
  <c r="J18" i="24"/>
  <c r="J19" i="24" s="1"/>
  <c r="J20" i="24" s="1"/>
  <c r="J21" i="24" s="1"/>
  <c r="J13" i="8"/>
  <c r="I10" i="21" s="1"/>
  <c r="L19" i="24"/>
  <c r="L20" i="24" s="1"/>
  <c r="L21" i="24" s="1"/>
  <c r="K19" i="24"/>
  <c r="K20" i="24" s="1"/>
  <c r="K21" i="24" s="1"/>
  <c r="M19" i="24"/>
  <c r="M20" i="24" s="1"/>
  <c r="M21" i="24" s="1"/>
  <c r="K13" i="8"/>
  <c r="J10" i="21" s="1"/>
  <c r="Y27" i="9"/>
  <c r="J45" i="24"/>
  <c r="K45" i="24"/>
  <c r="N21" i="8"/>
  <c r="N47" i="8"/>
  <c r="L23" i="12"/>
  <c r="L24" i="12" s="1"/>
  <c r="L45" i="24"/>
  <c r="M23" i="12"/>
  <c r="M24" i="12" s="1"/>
  <c r="M45" i="24"/>
  <c r="M45" i="8"/>
  <c r="N12" i="8"/>
  <c r="M13" i="8"/>
  <c r="L45" i="8"/>
  <c r="L13" i="8"/>
  <c r="I54" i="33" l="1"/>
  <c r="I23" i="33"/>
  <c r="J47" i="33"/>
  <c r="J21" i="33"/>
  <c r="K11" i="33"/>
  <c r="K12" i="33" s="1"/>
  <c r="J46" i="8"/>
  <c r="Y26" i="9" s="1"/>
  <c r="H17" i="9" s="1"/>
  <c r="K46" i="8"/>
  <c r="M46" i="8"/>
  <c r="L10" i="21"/>
  <c r="N45" i="8"/>
  <c r="N13" i="8"/>
  <c r="L46" i="8"/>
  <c r="K10" i="21"/>
  <c r="K13" i="33" l="1"/>
  <c r="J54" i="33"/>
  <c r="J23" i="33"/>
  <c r="I56" i="33"/>
  <c r="I26" i="33"/>
  <c r="I27" i="33" s="1"/>
  <c r="I28" i="33" s="1"/>
  <c r="O17" i="9"/>
  <c r="Y26" i="22"/>
  <c r="O17" i="22" s="1"/>
  <c r="N46" i="8"/>
  <c r="N16" i="8"/>
  <c r="M10" i="21"/>
  <c r="J56" i="33" l="1"/>
  <c r="J26" i="33"/>
  <c r="J27" i="33" s="1"/>
  <c r="J28" i="33" s="1"/>
  <c r="K22" i="33"/>
  <c r="K29" i="33" s="1"/>
  <c r="K19" i="33"/>
  <c r="L10" i="33"/>
  <c r="K20" i="33"/>
  <c r="K24" i="33"/>
  <c r="K17" i="33"/>
  <c r="K14" i="33"/>
  <c r="K25" i="33" s="1"/>
  <c r="K18" i="33"/>
  <c r="K16" i="33"/>
  <c r="H17" i="22"/>
  <c r="N18" i="8"/>
  <c r="N19" i="8" s="1"/>
  <c r="N24" i="8" s="1"/>
  <c r="N34" i="8" s="1"/>
  <c r="N37" i="8" s="1"/>
  <c r="N48" i="8"/>
  <c r="K47" i="33" l="1"/>
  <c r="K21" i="33"/>
  <c r="L11" i="33"/>
  <c r="L12" i="33" s="1"/>
  <c r="G33" i="8"/>
  <c r="F26" i="7"/>
  <c r="M15" i="8"/>
  <c r="L21" i="21" s="1"/>
  <c r="L15" i="8"/>
  <c r="L21" i="8" s="1"/>
  <c r="H26" i="7"/>
  <c r="G26" i="7"/>
  <c r="H15" i="8"/>
  <c r="L13" i="33" l="1"/>
  <c r="K54" i="33"/>
  <c r="K23" i="33"/>
  <c r="I26" i="7"/>
  <c r="I28" i="7" s="1"/>
  <c r="H28" i="7"/>
  <c r="H29" i="7" s="1"/>
  <c r="T27" i="7" s="1"/>
  <c r="J26" i="7"/>
  <c r="V26" i="7" s="1"/>
  <c r="E26" i="7"/>
  <c r="Q26" i="7" s="1"/>
  <c r="K15" i="8"/>
  <c r="K47" i="8" s="1"/>
  <c r="H16" i="8"/>
  <c r="H21" i="8"/>
  <c r="G21" i="21"/>
  <c r="H47" i="8"/>
  <c r="R26" i="7"/>
  <c r="F28" i="7"/>
  <c r="F29" i="7" s="1"/>
  <c r="R27" i="7" s="1"/>
  <c r="G28" i="7"/>
  <c r="G29" i="7" s="1"/>
  <c r="S27" i="7" s="1"/>
  <c r="S26" i="7"/>
  <c r="M21" i="8"/>
  <c r="J15" i="8"/>
  <c r="T26" i="7"/>
  <c r="M47" i="8"/>
  <c r="K21" i="21"/>
  <c r="I15" i="8"/>
  <c r="L47" i="8"/>
  <c r="M16" i="8"/>
  <c r="L16" i="8"/>
  <c r="K26" i="33" l="1"/>
  <c r="K27" i="33" s="1"/>
  <c r="K28" i="33" s="1"/>
  <c r="K56" i="33"/>
  <c r="L22" i="33"/>
  <c r="L29" i="33" s="1"/>
  <c r="M10" i="33"/>
  <c r="L24" i="33"/>
  <c r="L17" i="33"/>
  <c r="L14" i="33"/>
  <c r="L25" i="33" s="1"/>
  <c r="L18" i="33"/>
  <c r="L19" i="33"/>
  <c r="L20" i="33"/>
  <c r="I29" i="7"/>
  <c r="U27" i="7" s="1"/>
  <c r="U26" i="7"/>
  <c r="K16" i="8"/>
  <c r="K18" i="8" s="1"/>
  <c r="K19" i="8" s="1"/>
  <c r="J21" i="21"/>
  <c r="K21" i="8"/>
  <c r="E28" i="7"/>
  <c r="E29" i="7" s="1"/>
  <c r="Q27" i="7" s="1"/>
  <c r="J28" i="7"/>
  <c r="J29" i="7" s="1"/>
  <c r="V27" i="7" s="1"/>
  <c r="M18" i="8"/>
  <c r="M19" i="8" s="1"/>
  <c r="M24" i="8" s="1"/>
  <c r="M30" i="8" s="1"/>
  <c r="M48" i="8"/>
  <c r="L18" i="8"/>
  <c r="L19" i="8" s="1"/>
  <c r="L24" i="8" s="1"/>
  <c r="L30" i="8" s="1"/>
  <c r="L48" i="8"/>
  <c r="W28" i="22"/>
  <c r="W28" i="9"/>
  <c r="I21" i="8"/>
  <c r="H21" i="21"/>
  <c r="I16" i="8"/>
  <c r="I47" i="8"/>
  <c r="J16" i="8"/>
  <c r="J21" i="8"/>
  <c r="J47" i="8"/>
  <c r="I21" i="21"/>
  <c r="H48" i="8"/>
  <c r="H18" i="8"/>
  <c r="H19" i="8" s="1"/>
  <c r="H24" i="8" s="1"/>
  <c r="H30" i="8" s="1"/>
  <c r="L16" i="33" l="1"/>
  <c r="M11" i="33"/>
  <c r="M12" i="33" s="1"/>
  <c r="M13" i="33"/>
  <c r="K48" i="8"/>
  <c r="K24" i="8"/>
  <c r="K30" i="8" s="1"/>
  <c r="Y28" i="22"/>
  <c r="Y28" i="9"/>
  <c r="F18" i="9"/>
  <c r="M18" i="9"/>
  <c r="J18" i="8"/>
  <c r="J19" i="8" s="1"/>
  <c r="J24" i="8" s="1"/>
  <c r="J30" i="8" s="1"/>
  <c r="J48" i="8"/>
  <c r="F18" i="22"/>
  <c r="M18" i="22"/>
  <c r="X28" i="22"/>
  <c r="X28" i="9"/>
  <c r="I18" i="8"/>
  <c r="I19" i="8" s="1"/>
  <c r="I24" i="8" s="1"/>
  <c r="I30" i="8" s="1"/>
  <c r="I48" i="8"/>
  <c r="M22" i="33" l="1"/>
  <c r="M29" i="33" s="1"/>
  <c r="M17" i="33"/>
  <c r="M19" i="33"/>
  <c r="N10" i="33"/>
  <c r="M24" i="33"/>
  <c r="M14" i="33"/>
  <c r="M25" i="33" s="1"/>
  <c r="M18" i="33"/>
  <c r="M20" i="33"/>
  <c r="L21" i="33"/>
  <c r="L47" i="33"/>
  <c r="M22" i="22"/>
  <c r="M19" i="22"/>
  <c r="H18" i="22"/>
  <c r="O18" i="22"/>
  <c r="F19" i="22"/>
  <c r="F22" i="22"/>
  <c r="M22" i="9"/>
  <c r="M19" i="9"/>
  <c r="N18" i="22"/>
  <c r="G18" i="22"/>
  <c r="H18" i="9"/>
  <c r="O18" i="9"/>
  <c r="G18" i="9"/>
  <c r="N18" i="9"/>
  <c r="F22" i="9"/>
  <c r="F19" i="9"/>
  <c r="M16" i="33" l="1"/>
  <c r="L54" i="33"/>
  <c r="L23" i="33"/>
  <c r="N11" i="33"/>
  <c r="N12" i="33" s="1"/>
  <c r="N13" i="33"/>
  <c r="N22" i="22"/>
  <c r="N19" i="22"/>
  <c r="F20" i="22"/>
  <c r="F21" i="22" s="1"/>
  <c r="F25" i="22" s="1"/>
  <c r="F20" i="9"/>
  <c r="F21" i="9" s="1"/>
  <c r="F25" i="9" s="1"/>
  <c r="G19" i="22"/>
  <c r="G22" i="22"/>
  <c r="M20" i="22"/>
  <c r="M21" i="22" s="1"/>
  <c r="M25" i="22" s="1"/>
  <c r="N22" i="9"/>
  <c r="N19" i="9"/>
  <c r="O19" i="9"/>
  <c r="O22" i="9"/>
  <c r="M20" i="9"/>
  <c r="M21" i="9" s="1"/>
  <c r="M25" i="9" s="1"/>
  <c r="O22" i="22"/>
  <c r="O19" i="22"/>
  <c r="G22" i="9"/>
  <c r="G19" i="9"/>
  <c r="H19" i="9"/>
  <c r="H22" i="9"/>
  <c r="H19" i="22"/>
  <c r="H22" i="22"/>
  <c r="N22" i="33" l="1"/>
  <c r="N29" i="33" s="1"/>
  <c r="N24" i="33"/>
  <c r="O10" i="33"/>
  <c r="N20" i="33"/>
  <c r="N19" i="33"/>
  <c r="N18" i="33"/>
  <c r="N17" i="33"/>
  <c r="N14" i="33"/>
  <c r="N25" i="33" s="1"/>
  <c r="L56" i="33"/>
  <c r="L26" i="33"/>
  <c r="L27" i="33" s="1"/>
  <c r="L28" i="33" s="1"/>
  <c r="M47" i="33"/>
  <c r="M21" i="33"/>
  <c r="H20" i="9"/>
  <c r="H21" i="9" s="1"/>
  <c r="H25" i="9" s="1"/>
  <c r="O20" i="9"/>
  <c r="O21" i="9" s="1"/>
  <c r="O25" i="9" s="1"/>
  <c r="G20" i="9"/>
  <c r="G21" i="9" s="1"/>
  <c r="G25" i="9" s="1"/>
  <c r="N20" i="9"/>
  <c r="N21" i="9" s="1"/>
  <c r="N25" i="9" s="1"/>
  <c r="H20" i="22"/>
  <c r="H21" i="22" s="1"/>
  <c r="H25" i="22" s="1"/>
  <c r="G20" i="22"/>
  <c r="G21" i="22" s="1"/>
  <c r="G25" i="22" s="1"/>
  <c r="O20" i="22"/>
  <c r="O21" i="22" s="1"/>
  <c r="O25" i="22" s="1"/>
  <c r="N20" i="22"/>
  <c r="N21" i="22" s="1"/>
  <c r="N25" i="22" s="1"/>
  <c r="M54" i="33" l="1"/>
  <c r="M23" i="33"/>
  <c r="N16" i="33"/>
  <c r="O11" i="33"/>
  <c r="O12" i="33" s="1"/>
  <c r="D21" i="7"/>
  <c r="G12" i="8" s="1"/>
  <c r="G45" i="8" s="1"/>
  <c r="O13" i="33" l="1"/>
  <c r="N47" i="33"/>
  <c r="N21" i="33"/>
  <c r="M56" i="33"/>
  <c r="M26" i="33"/>
  <c r="M27" i="33" s="1"/>
  <c r="M28" i="33" s="1"/>
  <c r="V27" i="22"/>
  <c r="V27" i="9"/>
  <c r="P24" i="7"/>
  <c r="G15" i="8"/>
  <c r="G21" i="8" s="1"/>
  <c r="N54" i="33" l="1"/>
  <c r="N23" i="33"/>
  <c r="O20" i="33"/>
  <c r="O22" i="33"/>
  <c r="O29" i="33" s="1"/>
  <c r="P10" i="33"/>
  <c r="O14" i="33"/>
  <c r="O18" i="33"/>
  <c r="O24" i="33"/>
  <c r="O19" i="33"/>
  <c r="O17" i="33"/>
  <c r="G47" i="8"/>
  <c r="F21" i="21"/>
  <c r="F22" i="21" s="1"/>
  <c r="N56" i="33" l="1"/>
  <c r="N26" i="33"/>
  <c r="N27" i="33" s="1"/>
  <c r="N28" i="33" s="1"/>
  <c r="P11" i="33"/>
  <c r="P12" i="33" s="1"/>
  <c r="O16" i="33"/>
  <c r="O25" i="33"/>
  <c r="F23" i="21"/>
  <c r="F24" i="21" s="1"/>
  <c r="F25" i="21" s="1"/>
  <c r="G19" i="21"/>
  <c r="G22" i="21" s="1"/>
  <c r="V28" i="9"/>
  <c r="V28" i="22"/>
  <c r="P13" i="33" l="1"/>
  <c r="O47" i="33"/>
  <c r="O21" i="33"/>
  <c r="E18" i="22"/>
  <c r="E22" i="22" s="1"/>
  <c r="L18" i="22"/>
  <c r="L22" i="22" s="1"/>
  <c r="L18" i="9"/>
  <c r="L22" i="9" s="1"/>
  <c r="E18" i="9"/>
  <c r="E22" i="9" s="1"/>
  <c r="G23" i="21"/>
  <c r="G24" i="21" s="1"/>
  <c r="G25" i="21" s="1"/>
  <c r="H19" i="21"/>
  <c r="H22" i="21" s="1"/>
  <c r="O23" i="33" l="1"/>
  <c r="O54" i="33"/>
  <c r="X10" i="33"/>
  <c r="P24" i="33"/>
  <c r="P14" i="33"/>
  <c r="P25" i="33" s="1"/>
  <c r="P19" i="33"/>
  <c r="P22" i="33"/>
  <c r="P29" i="33" s="1"/>
  <c r="P17" i="33"/>
  <c r="P18" i="33"/>
  <c r="P20" i="33"/>
  <c r="H23" i="21"/>
  <c r="H24" i="21" s="1"/>
  <c r="H25" i="21" s="1"/>
  <c r="I19" i="21"/>
  <c r="I22" i="21" s="1"/>
  <c r="P16" i="33" l="1"/>
  <c r="X11" i="33"/>
  <c r="X12" i="33" s="1"/>
  <c r="X13" i="33"/>
  <c r="O26" i="33"/>
  <c r="O27" i="33" s="1"/>
  <c r="O28" i="33" s="1"/>
  <c r="O56" i="33"/>
  <c r="I23" i="21"/>
  <c r="I24" i="21" s="1"/>
  <c r="I25" i="21" s="1"/>
  <c r="J19" i="21"/>
  <c r="J22" i="21" s="1"/>
  <c r="P47" i="33" l="1"/>
  <c r="P21" i="33"/>
  <c r="X22" i="33"/>
  <c r="X29" i="33" s="1"/>
  <c r="X17" i="33"/>
  <c r="X19" i="33"/>
  <c r="X24" i="33"/>
  <c r="Y10" i="33"/>
  <c r="X18" i="33"/>
  <c r="X14" i="33"/>
  <c r="X25" i="33" s="1"/>
  <c r="X20" i="33"/>
  <c r="X16" i="33"/>
  <c r="K19" i="21"/>
  <c r="K22" i="21" s="1"/>
  <c r="J23" i="21"/>
  <c r="J24" i="21" s="1"/>
  <c r="J25" i="21" s="1"/>
  <c r="Y11" i="33" l="1"/>
  <c r="Y12" i="33" s="1"/>
  <c r="P54" i="33"/>
  <c r="P23" i="33"/>
  <c r="X47" i="33"/>
  <c r="X21" i="33"/>
  <c r="L19" i="21"/>
  <c r="L22" i="21" s="1"/>
  <c r="K23" i="21"/>
  <c r="K24" i="21" s="1"/>
  <c r="K25" i="21" s="1"/>
  <c r="X23" i="33" l="1"/>
  <c r="X54" i="33"/>
  <c r="P56" i="33"/>
  <c r="P26" i="33"/>
  <c r="P27" i="33" s="1"/>
  <c r="P28" i="33" s="1"/>
  <c r="Y13" i="33"/>
  <c r="L23" i="21"/>
  <c r="L24" i="21" s="1"/>
  <c r="L25" i="21" s="1"/>
  <c r="M19" i="21"/>
  <c r="M22" i="21" s="1"/>
  <c r="M23" i="21" s="1"/>
  <c r="M24" i="21" s="1"/>
  <c r="M25" i="21" s="1"/>
  <c r="G10" i="8"/>
  <c r="G43" i="8" s="1"/>
  <c r="D15" i="7"/>
  <c r="D22" i="7" s="1"/>
  <c r="Y22" i="33" l="1"/>
  <c r="Y29" i="33" s="1"/>
  <c r="Z10" i="33"/>
  <c r="Y20" i="33"/>
  <c r="Y18" i="33"/>
  <c r="Y19" i="33"/>
  <c r="Y24" i="33"/>
  <c r="Y17" i="33"/>
  <c r="Y14" i="33"/>
  <c r="Y25" i="33" s="1"/>
  <c r="Y16" i="33"/>
  <c r="X56" i="33"/>
  <c r="X26" i="33"/>
  <c r="X27" i="33" s="1"/>
  <c r="X28" i="33" s="1"/>
  <c r="F26" i="21"/>
  <c r="G11" i="8"/>
  <c r="G13" i="8" s="1"/>
  <c r="F10" i="21" s="1"/>
  <c r="P25" i="7"/>
  <c r="D26" i="7"/>
  <c r="P23" i="7"/>
  <c r="Y21" i="33" l="1"/>
  <c r="Y47" i="33"/>
  <c r="Z11" i="33"/>
  <c r="Z12" i="33" s="1"/>
  <c r="G16" i="8"/>
  <c r="G18" i="8" s="1"/>
  <c r="G19" i="8" s="1"/>
  <c r="G24" i="8" s="1"/>
  <c r="G30" i="8" s="1"/>
  <c r="G44" i="8"/>
  <c r="G46" i="8"/>
  <c r="V26" i="22" s="1"/>
  <c r="G23" i="12"/>
  <c r="G24" i="12" s="1"/>
  <c r="P26" i="7"/>
  <c r="D28" i="7"/>
  <c r="D29" i="7" s="1"/>
  <c r="P27" i="7" s="1"/>
  <c r="Z13" i="33" l="1"/>
  <c r="Y54" i="33"/>
  <c r="Y23" i="33"/>
  <c r="V26" i="9"/>
  <c r="L17" i="9" s="1"/>
  <c r="L19" i="9" s="1"/>
  <c r="G48" i="8"/>
  <c r="G32" i="8"/>
  <c r="G34" i="8" s="1"/>
  <c r="L17" i="22"/>
  <c r="L19" i="22" s="1"/>
  <c r="E17" i="22"/>
  <c r="E19" i="22" s="1"/>
  <c r="Y56" i="33" l="1"/>
  <c r="Y26" i="33"/>
  <c r="Y27" i="33" s="1"/>
  <c r="Y28" i="33" s="1"/>
  <c r="Z22" i="33"/>
  <c r="Z29" i="33" s="1"/>
  <c r="Z14" i="33"/>
  <c r="Z25" i="33" s="1"/>
  <c r="Z18" i="33"/>
  <c r="Z19" i="33"/>
  <c r="Z20" i="33"/>
  <c r="Z17" i="33"/>
  <c r="AA10" i="33"/>
  <c r="Z24" i="33"/>
  <c r="G35" i="8"/>
  <c r="E17" i="9"/>
  <c r="E19" i="9" s="1"/>
  <c r="E20" i="9" s="1"/>
  <c r="E21" i="9" s="1"/>
  <c r="E25" i="9" s="1"/>
  <c r="L20" i="9"/>
  <c r="L21" i="9" s="1"/>
  <c r="L25" i="9" s="1"/>
  <c r="E20" i="22"/>
  <c r="E21" i="22" s="1"/>
  <c r="E25" i="22" s="1"/>
  <c r="L20" i="22"/>
  <c r="L21" i="22" s="1"/>
  <c r="L25" i="22" s="1"/>
  <c r="E20" i="10"/>
  <c r="E21" i="10" s="1"/>
  <c r="E10" i="10"/>
  <c r="J9" i="10"/>
  <c r="J12" i="10" s="1"/>
  <c r="J16" i="10" s="1"/>
  <c r="G21" i="10" s="1"/>
  <c r="Z16" i="33" l="1"/>
  <c r="AA11" i="33"/>
  <c r="AA12" i="33" s="1"/>
  <c r="AA13" i="33"/>
  <c r="G22" i="10"/>
  <c r="G23" i="10" s="1"/>
  <c r="AA22" i="33" l="1"/>
  <c r="AA29" i="33" s="1"/>
  <c r="AA14" i="33"/>
  <c r="AA25" i="33" s="1"/>
  <c r="AA17" i="33"/>
  <c r="AB10" i="33"/>
  <c r="AA19" i="33"/>
  <c r="AA24" i="33"/>
  <c r="AA18" i="33"/>
  <c r="AA20" i="33"/>
  <c r="AA16" i="33"/>
  <c r="Z21" i="33"/>
  <c r="Z47" i="33"/>
  <c r="F25" i="11"/>
  <c r="K14" i="11" s="1"/>
  <c r="E19" i="11" s="1"/>
  <c r="E34" i="33" s="1"/>
  <c r="F29" i="12"/>
  <c r="L29" i="12" s="1"/>
  <c r="L30" i="12" s="1"/>
  <c r="O28" i="16"/>
  <c r="E27" i="16" s="1"/>
  <c r="G34" i="33" l="1"/>
  <c r="J34" i="33"/>
  <c r="W34" i="33"/>
  <c r="N34" i="33"/>
  <c r="K34" i="33"/>
  <c r="H34" i="33"/>
  <c r="L34" i="33"/>
  <c r="I34" i="33"/>
  <c r="O34" i="33"/>
  <c r="P34" i="33"/>
  <c r="M34" i="33"/>
  <c r="X34" i="33"/>
  <c r="Y34" i="33"/>
  <c r="Z34" i="33"/>
  <c r="AA34" i="33"/>
  <c r="AB34" i="33"/>
  <c r="AC34" i="33"/>
  <c r="AD34" i="33"/>
  <c r="AE34" i="33"/>
  <c r="AF34" i="33"/>
  <c r="AG34" i="33"/>
  <c r="AH34" i="33"/>
  <c r="F38" i="33" s="1"/>
  <c r="F34" i="33"/>
  <c r="Z23" i="33"/>
  <c r="Z54" i="33"/>
  <c r="AA21" i="33"/>
  <c r="AA47" i="33"/>
  <c r="AB11" i="33"/>
  <c r="AB12" i="33" s="1"/>
  <c r="AB13" i="33"/>
  <c r="J29" i="12"/>
  <c r="J30" i="12" s="1"/>
  <c r="E20" i="11"/>
  <c r="E29" i="21" s="1"/>
  <c r="E18" i="11"/>
  <c r="D29" i="9" s="1"/>
  <c r="H29" i="9" s="1"/>
  <c r="H30" i="9" s="1"/>
  <c r="E17" i="11"/>
  <c r="F29" i="24" s="1"/>
  <c r="I29" i="24" s="1"/>
  <c r="E16" i="11"/>
  <c r="F19" i="1" s="1"/>
  <c r="I19" i="1" s="1"/>
  <c r="I20" i="1" s="1"/>
  <c r="I29" i="12"/>
  <c r="I30" i="12" s="1"/>
  <c r="G29" i="12"/>
  <c r="G30" i="12" s="1"/>
  <c r="M29" i="12"/>
  <c r="M30" i="12" s="1"/>
  <c r="K29" i="12"/>
  <c r="K30" i="12" s="1"/>
  <c r="H29" i="12"/>
  <c r="H30" i="12" s="1"/>
  <c r="E28" i="16"/>
  <c r="AA54" i="33" l="1"/>
  <c r="AA23" i="33"/>
  <c r="Z26" i="33"/>
  <c r="Z27" i="33" s="1"/>
  <c r="Z28" i="33" s="1"/>
  <c r="Z56" i="33"/>
  <c r="AB22" i="33"/>
  <c r="AB29" i="33" s="1"/>
  <c r="AB20" i="33"/>
  <c r="AB18" i="33"/>
  <c r="AB17" i="33"/>
  <c r="AC10" i="33"/>
  <c r="AB24" i="33"/>
  <c r="AB19" i="33"/>
  <c r="AB14" i="33"/>
  <c r="AB25" i="33" s="1"/>
  <c r="G32" i="12"/>
  <c r="G33" i="12" s="1"/>
  <c r="G34" i="12" s="1"/>
  <c r="D20" i="11"/>
  <c r="E22" i="4"/>
  <c r="M19" i="1"/>
  <c r="M20" i="1" s="1"/>
  <c r="N25" i="1"/>
  <c r="L19" i="1"/>
  <c r="L20" i="1" s="1"/>
  <c r="L29" i="24"/>
  <c r="K19" i="1"/>
  <c r="K20" i="1" s="1"/>
  <c r="J19" i="1"/>
  <c r="J20" i="1" s="1"/>
  <c r="H19" i="1"/>
  <c r="H20" i="1" s="1"/>
  <c r="G19" i="1"/>
  <c r="G20" i="1" s="1"/>
  <c r="D29" i="22"/>
  <c r="E29" i="22" s="1"/>
  <c r="E30" i="22" s="1"/>
  <c r="G29" i="24"/>
  <c r="J29" i="24"/>
  <c r="M29" i="24"/>
  <c r="E39" i="21"/>
  <c r="H29" i="24"/>
  <c r="K29" i="24"/>
  <c r="O29" i="9"/>
  <c r="O30" i="9" s="1"/>
  <c r="F29" i="9"/>
  <c r="M29" i="9" s="1"/>
  <c r="M30" i="9" s="1"/>
  <c r="E29" i="9"/>
  <c r="E30" i="9" s="1"/>
  <c r="G29" i="9"/>
  <c r="G30" i="9" s="1"/>
  <c r="F28" i="21"/>
  <c r="G28" i="21" s="1"/>
  <c r="H28" i="21" s="1"/>
  <c r="I28" i="21" s="1"/>
  <c r="J28" i="21" s="1"/>
  <c r="K28" i="21" s="1"/>
  <c r="L28" i="21" s="1"/>
  <c r="M28" i="21" s="1"/>
  <c r="M29" i="21" s="1"/>
  <c r="M30" i="21" s="1"/>
  <c r="E34" i="21"/>
  <c r="AB16" i="33" l="1"/>
  <c r="AC11" i="33"/>
  <c r="AC12" i="33" s="1"/>
  <c r="AC13" i="33"/>
  <c r="AA26" i="33"/>
  <c r="AA27" i="33" s="1"/>
  <c r="AA28" i="33" s="1"/>
  <c r="AA56" i="33"/>
  <c r="N26" i="1"/>
  <c r="G23" i="1" s="1"/>
  <c r="L29" i="22"/>
  <c r="L30" i="22" s="1"/>
  <c r="G22" i="1"/>
  <c r="G24" i="1" s="1"/>
  <c r="G25" i="1" s="1"/>
  <c r="G26" i="1" s="1"/>
  <c r="E19" i="4" s="1"/>
  <c r="F29" i="22"/>
  <c r="G29" i="22"/>
  <c r="N29" i="22" s="1"/>
  <c r="N30" i="22" s="1"/>
  <c r="H29" i="22"/>
  <c r="O29" i="22" s="1"/>
  <c r="O30" i="22" s="1"/>
  <c r="L29" i="9"/>
  <c r="L30" i="9" s="1"/>
  <c r="F30" i="9"/>
  <c r="Y13" i="9" s="1"/>
  <c r="G30" i="22"/>
  <c r="N29" i="9"/>
  <c r="N30" i="9" s="1"/>
  <c r="I29" i="21"/>
  <c r="I30" i="21" s="1"/>
  <c r="G29" i="21"/>
  <c r="G30" i="21" s="1"/>
  <c r="F29" i="21"/>
  <c r="F30" i="21" s="1"/>
  <c r="K29" i="21"/>
  <c r="K30" i="21" s="1"/>
  <c r="L29" i="21"/>
  <c r="L30" i="21" s="1"/>
  <c r="J29" i="21"/>
  <c r="J30" i="21" s="1"/>
  <c r="H29" i="21"/>
  <c r="H30" i="21" s="1"/>
  <c r="AC14" i="33" l="1"/>
  <c r="AC25" i="33" s="1"/>
  <c r="AC19" i="33"/>
  <c r="AD10" i="33"/>
  <c r="AC20" i="33"/>
  <c r="AC24" i="33"/>
  <c r="AC16" i="33"/>
  <c r="AC22" i="33"/>
  <c r="AC29" i="33" s="1"/>
  <c r="AC18" i="33"/>
  <c r="AC17" i="33"/>
  <c r="AB21" i="33"/>
  <c r="AB47" i="33"/>
  <c r="Y14" i="9"/>
  <c r="Y15" i="9" s="1"/>
  <c r="Y17" i="9" s="1"/>
  <c r="Y18" i="9" s="1"/>
  <c r="Y19" i="9" s="1"/>
  <c r="H30" i="22"/>
  <c r="M29" i="22"/>
  <c r="M30" i="22" s="1"/>
  <c r="Y14" i="22" s="1"/>
  <c r="F30" i="22"/>
  <c r="Y13" i="22" s="1"/>
  <c r="F31" i="21"/>
  <c r="D16" i="11"/>
  <c r="AB23" i="33" l="1"/>
  <c r="AB54" i="33"/>
  <c r="AD11" i="33"/>
  <c r="AD12" i="33" s="1"/>
  <c r="AD13" i="33"/>
  <c r="AC21" i="33"/>
  <c r="AC47" i="33"/>
  <c r="F38" i="21"/>
  <c r="G38" i="21" s="1"/>
  <c r="G39" i="21" s="1"/>
  <c r="G40" i="21" s="1"/>
  <c r="Y15" i="22"/>
  <c r="Y17" i="22" s="1"/>
  <c r="Y18" i="22" s="1"/>
  <c r="Y19" i="22" s="1"/>
  <c r="F33" i="21" s="1"/>
  <c r="G33" i="21" s="1"/>
  <c r="AD20" i="33" l="1"/>
  <c r="AD24" i="33"/>
  <c r="AD22" i="33"/>
  <c r="AD29" i="33" s="1"/>
  <c r="AD19" i="33"/>
  <c r="AD18" i="33"/>
  <c r="AD17" i="33"/>
  <c r="AE10" i="33"/>
  <c r="AD14" i="33"/>
  <c r="AD25" i="33" s="1"/>
  <c r="AC23" i="33"/>
  <c r="AC54" i="33"/>
  <c r="AB56" i="33"/>
  <c r="AB26" i="33"/>
  <c r="AB27" i="33" s="1"/>
  <c r="AB28" i="33" s="1"/>
  <c r="E21" i="4"/>
  <c r="H38" i="21"/>
  <c r="H39" i="21" s="1"/>
  <c r="H40" i="21" s="1"/>
  <c r="F39" i="21"/>
  <c r="F40" i="21" s="1"/>
  <c r="F34" i="21"/>
  <c r="F35" i="21" s="1"/>
  <c r="D18" i="11"/>
  <c r="H33" i="21"/>
  <c r="G34" i="21"/>
  <c r="G35" i="21" s="1"/>
  <c r="I38" i="21"/>
  <c r="AC56" i="33" l="1"/>
  <c r="AC26" i="33"/>
  <c r="AC27" i="33" s="1"/>
  <c r="AC28" i="33" s="1"/>
  <c r="AD16" i="33"/>
  <c r="AE11" i="33"/>
  <c r="AE12" i="33" s="1"/>
  <c r="J38" i="21"/>
  <c r="I39" i="21"/>
  <c r="I40" i="21" s="1"/>
  <c r="I33" i="21"/>
  <c r="H34" i="21"/>
  <c r="H35" i="21" s="1"/>
  <c r="AE13" i="33" l="1"/>
  <c r="AD47" i="33"/>
  <c r="AD21" i="33"/>
  <c r="J33" i="21"/>
  <c r="I34" i="21"/>
  <c r="I35" i="21" s="1"/>
  <c r="K38" i="21"/>
  <c r="J39" i="21"/>
  <c r="J40" i="21" s="1"/>
  <c r="AD54" i="33" l="1"/>
  <c r="AD23" i="33"/>
  <c r="AE22" i="33"/>
  <c r="AE29" i="33" s="1"/>
  <c r="AE17" i="33"/>
  <c r="AF10" i="33"/>
  <c r="AE18" i="33"/>
  <c r="AE20" i="33"/>
  <c r="AE14" i="33"/>
  <c r="AE25" i="33" s="1"/>
  <c r="AE24" i="33"/>
  <c r="AE19" i="33"/>
  <c r="L38" i="21"/>
  <c r="K39" i="21"/>
  <c r="K40" i="21" s="1"/>
  <c r="K33" i="21"/>
  <c r="J34" i="21"/>
  <c r="J35" i="21" s="1"/>
  <c r="AF11" i="33" l="1"/>
  <c r="AF12" i="33" s="1"/>
  <c r="AE16" i="33"/>
  <c r="AD26" i="33"/>
  <c r="AD27" i="33" s="1"/>
  <c r="AD28" i="33" s="1"/>
  <c r="AD56" i="33"/>
  <c r="L33" i="21"/>
  <c r="K34" i="21"/>
  <c r="K35" i="21" s="1"/>
  <c r="M38" i="21"/>
  <c r="M39" i="21" s="1"/>
  <c r="M40" i="21" s="1"/>
  <c r="L39" i="21"/>
  <c r="L40" i="21" s="1"/>
  <c r="AF13" i="33" l="1"/>
  <c r="AE47" i="33"/>
  <c r="AE21" i="33"/>
  <c r="M33" i="21"/>
  <c r="M34" i="21" s="1"/>
  <c r="M35" i="21" s="1"/>
  <c r="L34" i="21"/>
  <c r="L35" i="21" s="1"/>
  <c r="F41" i="21"/>
  <c r="AE54" i="33" l="1"/>
  <c r="AE23" i="33"/>
  <c r="AF22" i="33"/>
  <c r="AF29" i="33" s="1"/>
  <c r="AF24" i="33"/>
  <c r="AF19" i="33"/>
  <c r="AF14" i="33"/>
  <c r="AF25" i="33" s="1"/>
  <c r="AF20" i="33"/>
  <c r="AF18" i="33"/>
  <c r="AF17" i="33"/>
  <c r="AG10" i="33"/>
  <c r="AF16" i="33"/>
  <c r="F36" i="21"/>
  <c r="E44" i="21" l="1"/>
  <c r="E51" i="21"/>
  <c r="E50" i="21"/>
  <c r="E49" i="21"/>
  <c r="F57" i="33" s="1"/>
  <c r="AF47" i="33"/>
  <c r="AF21" i="33"/>
  <c r="AE26" i="33"/>
  <c r="AE27" i="33" s="1"/>
  <c r="AE28" i="33" s="1"/>
  <c r="AE56" i="33"/>
  <c r="AG11" i="33"/>
  <c r="AG12" i="33" s="1"/>
  <c r="G46" i="24"/>
  <c r="G23" i="24" s="1"/>
  <c r="G24" i="24" s="1"/>
  <c r="G30" i="24" s="1"/>
  <c r="C39" i="2"/>
  <c r="AG13" i="33" l="1"/>
  <c r="AF54" i="33"/>
  <c r="AF23" i="33"/>
  <c r="G57" i="33"/>
  <c r="F31" i="33"/>
  <c r="F32" i="33" s="1"/>
  <c r="F35" i="33" s="1"/>
  <c r="H46" i="24"/>
  <c r="H23" i="24" s="1"/>
  <c r="H24" i="24" s="1"/>
  <c r="H30" i="24" s="1"/>
  <c r="AF26" i="33" l="1"/>
  <c r="AF27" i="33" s="1"/>
  <c r="AF28" i="33" s="1"/>
  <c r="AF56" i="33"/>
  <c r="AG14" i="33"/>
  <c r="AG25" i="33" s="1"/>
  <c r="AG19" i="33"/>
  <c r="AG18" i="33"/>
  <c r="AG17" i="33"/>
  <c r="AG22" i="33"/>
  <c r="AG29" i="33" s="1"/>
  <c r="AH10" i="33"/>
  <c r="AG20" i="33"/>
  <c r="AG24" i="33"/>
  <c r="H57" i="33"/>
  <c r="G31" i="33"/>
  <c r="G32" i="33" s="1"/>
  <c r="G35" i="33" s="1"/>
  <c r="I46" i="24"/>
  <c r="I23" i="24" s="1"/>
  <c r="I24" i="24" s="1"/>
  <c r="I30" i="24" s="1"/>
  <c r="I57" i="33" l="1"/>
  <c r="H31" i="33"/>
  <c r="H32" i="33" s="1"/>
  <c r="H35" i="33" s="1"/>
  <c r="AH11" i="33"/>
  <c r="AH12" i="33" s="1"/>
  <c r="AH13" i="33"/>
  <c r="AG16" i="33"/>
  <c r="J46" i="24"/>
  <c r="K46" i="24" s="1"/>
  <c r="K23" i="24" s="1"/>
  <c r="K24" i="24" s="1"/>
  <c r="K30" i="24" s="1"/>
  <c r="AH22" i="33" l="1"/>
  <c r="AH29" i="33" s="1"/>
  <c r="AH20" i="33"/>
  <c r="AH19" i="33"/>
  <c r="AH18" i="33"/>
  <c r="AH14" i="33"/>
  <c r="AH25" i="33" s="1"/>
  <c r="AH24" i="33"/>
  <c r="AH17" i="33"/>
  <c r="AH16" i="33"/>
  <c r="J57" i="33"/>
  <c r="I31" i="33"/>
  <c r="I32" i="33" s="1"/>
  <c r="I35" i="33" s="1"/>
  <c r="AG47" i="33"/>
  <c r="AG21" i="33"/>
  <c r="L46" i="24"/>
  <c r="M46" i="24" s="1"/>
  <c r="M23" i="24" s="1"/>
  <c r="M24" i="24" s="1"/>
  <c r="M30" i="24" s="1"/>
  <c r="J23" i="24"/>
  <c r="J24" i="24" s="1"/>
  <c r="J30" i="24" s="1"/>
  <c r="K57" i="33" l="1"/>
  <c r="J31" i="33"/>
  <c r="J32" i="33" s="1"/>
  <c r="J35" i="33" s="1"/>
  <c r="AG23" i="33"/>
  <c r="AG54" i="33"/>
  <c r="AH21" i="33"/>
  <c r="AH47" i="33"/>
  <c r="L23" i="24"/>
  <c r="L24" i="24" s="1"/>
  <c r="L30" i="24" s="1"/>
  <c r="G32" i="24" s="1"/>
  <c r="G33" i="24" s="1"/>
  <c r="G34" i="24" s="1"/>
  <c r="AH54" i="33" l="1"/>
  <c r="AH23" i="33"/>
  <c r="AG26" i="33"/>
  <c r="AG27" i="33" s="1"/>
  <c r="AG28" i="33" s="1"/>
  <c r="AG56" i="33"/>
  <c r="L57" i="33"/>
  <c r="K31" i="33"/>
  <c r="K32" i="33" s="1"/>
  <c r="K35" i="33" s="1"/>
  <c r="D17" i="11"/>
  <c r="E20" i="4"/>
  <c r="E23" i="4" s="1"/>
  <c r="M57" i="33" l="1"/>
  <c r="L31" i="33"/>
  <c r="L32" i="33" s="1"/>
  <c r="L35" i="33" s="1"/>
  <c r="AH26" i="33"/>
  <c r="AH27" i="33" s="1"/>
  <c r="AH28" i="33" s="1"/>
  <c r="AH56" i="33"/>
  <c r="D27" i="11"/>
  <c r="D24" i="11" s="1"/>
  <c r="G37" i="8"/>
  <c r="E25" i="4"/>
  <c r="N57" i="33" l="1"/>
  <c r="M31" i="33"/>
  <c r="M32" i="33" s="1"/>
  <c r="M35" i="33" s="1"/>
  <c r="F12" i="11"/>
  <c r="F11" i="11"/>
  <c r="F17" i="11"/>
  <c r="F10" i="11"/>
  <c r="F18" i="11"/>
  <c r="F20" i="11"/>
  <c r="F16" i="11"/>
  <c r="E26" i="4"/>
  <c r="F25" i="4" s="1"/>
  <c r="F9" i="4"/>
  <c r="F11" i="4" s="1"/>
  <c r="F10" i="4"/>
  <c r="O57" i="33" l="1"/>
  <c r="N31" i="33"/>
  <c r="N32" i="33" s="1"/>
  <c r="N35" i="33" s="1"/>
  <c r="F13" i="11"/>
  <c r="F23" i="4"/>
  <c r="F20" i="4"/>
  <c r="F19" i="4"/>
  <c r="F17" i="4"/>
  <c r="F16" i="4"/>
  <c r="F15" i="4"/>
  <c r="F22" i="4"/>
  <c r="F21" i="4"/>
  <c r="F14" i="4"/>
  <c r="P57" i="33" l="1"/>
  <c r="O31" i="33"/>
  <c r="O32" i="33" s="1"/>
  <c r="O35" i="33" s="1"/>
  <c r="X57" i="33" l="1"/>
  <c r="P31" i="33"/>
  <c r="P32" i="33" s="1"/>
  <c r="P35" i="33" s="1"/>
  <c r="Y57" i="33" l="1"/>
  <c r="X31" i="33"/>
  <c r="X32" i="33" s="1"/>
  <c r="X35" i="33" s="1"/>
  <c r="Z57" i="33" l="1"/>
  <c r="Y31" i="33"/>
  <c r="Y32" i="33" s="1"/>
  <c r="Y35" i="33" s="1"/>
  <c r="AA57" i="33" l="1"/>
  <c r="Z31" i="33"/>
  <c r="Z32" i="33" s="1"/>
  <c r="Z35" i="33" s="1"/>
  <c r="AB57" i="33" l="1"/>
  <c r="AA31" i="33"/>
  <c r="AA32" i="33" s="1"/>
  <c r="AA35" i="33" s="1"/>
  <c r="AC57" i="33" l="1"/>
  <c r="AB31" i="33"/>
  <c r="AB32" i="33" s="1"/>
  <c r="AB35" i="33" s="1"/>
  <c r="AD57" i="33" l="1"/>
  <c r="AC31" i="33"/>
  <c r="AC32" i="33" s="1"/>
  <c r="AC35" i="33" s="1"/>
  <c r="AE57" i="33" l="1"/>
  <c r="AD31" i="33"/>
  <c r="AD32" i="33" s="1"/>
  <c r="AD35" i="33" s="1"/>
  <c r="AF57" i="33" l="1"/>
  <c r="AE31" i="33"/>
  <c r="AE32" i="33" s="1"/>
  <c r="AE35" i="33" s="1"/>
  <c r="AG57" i="33" l="1"/>
  <c r="AF31" i="33"/>
  <c r="AF32" i="33" s="1"/>
  <c r="AF35" i="33" s="1"/>
  <c r="AH57" i="33" l="1"/>
  <c r="AH31" i="33" s="1"/>
  <c r="AH32" i="33" s="1"/>
  <c r="AH35" i="33" s="1"/>
  <c r="F37" i="33" s="1"/>
  <c r="F39" i="33" s="1"/>
  <c r="F40" i="33" s="1"/>
  <c r="F41" i="33" s="1"/>
  <c r="D19" i="11" s="1"/>
  <c r="AG31" i="33"/>
  <c r="AG32" i="33" s="1"/>
  <c r="AG35" i="33" s="1"/>
  <c r="D21" i="11" l="1"/>
  <c r="D23" i="11" s="1"/>
  <c r="F23" i="11" s="1"/>
  <c r="F24" i="11" s="1"/>
  <c r="F19" i="11"/>
  <c r="F21" i="11" s="1"/>
</calcChain>
</file>

<file path=xl/sharedStrings.xml><?xml version="1.0" encoding="utf-8"?>
<sst xmlns="http://schemas.openxmlformats.org/spreadsheetml/2006/main" count="1175" uniqueCount="563">
  <si>
    <t>Projections for Years Ending December 31</t>
  </si>
  <si>
    <t>Total Company Revenue</t>
  </si>
  <si>
    <t>Pre-Tax Royalty Savings</t>
  </si>
  <si>
    <t>Income Taxes</t>
  </si>
  <si>
    <t>After-Tax Royalty Savings</t>
  </si>
  <si>
    <t xml:space="preserve">Partial Period Adjustment </t>
  </si>
  <si>
    <t>Mid-Year Period</t>
  </si>
  <si>
    <t>Present Value Factor</t>
  </si>
  <si>
    <t>Present Value of Royalty Savings</t>
  </si>
  <si>
    <t xml:space="preserve"> </t>
  </si>
  <si>
    <t>Key Inputs and Assumptions</t>
  </si>
  <si>
    <t>Data</t>
  </si>
  <si>
    <t>Blue</t>
  </si>
  <si>
    <t>Formula</t>
  </si>
  <si>
    <t>Black</t>
  </si>
  <si>
    <t>Check</t>
  </si>
  <si>
    <t>Red</t>
  </si>
  <si>
    <t>Acquirer Company Name</t>
  </si>
  <si>
    <t>Target Company Name</t>
  </si>
  <si>
    <t>Valuation Date</t>
  </si>
  <si>
    <t>Portion of year remaining</t>
  </si>
  <si>
    <t>Latest Fiscal Year End</t>
  </si>
  <si>
    <t>Trailing Twelve Months End</t>
  </si>
  <si>
    <t>First Year of Projections</t>
  </si>
  <si>
    <t>Federal Tax Rate</t>
  </si>
  <si>
    <t>State Tax Rate</t>
  </si>
  <si>
    <t>Subject Effective Tax Rate</t>
  </si>
  <si>
    <t>Prime Rate</t>
  </si>
  <si>
    <t>Currency Heading</t>
  </si>
  <si>
    <t>(in USD ‘000s unless specified otherwise)</t>
  </si>
  <si>
    <t>Global column heading for historicals:</t>
  </si>
  <si>
    <t>For the years ended 31 Dec</t>
  </si>
  <si>
    <t>Global column heading for projections:</t>
  </si>
  <si>
    <t>For the years ending 31 Dec</t>
  </si>
  <si>
    <t>Table of Contents</t>
  </si>
  <si>
    <t>Exhibit Number</t>
  </si>
  <si>
    <t>Exhibit Labeling</t>
  </si>
  <si>
    <t>Summary of Values</t>
  </si>
  <si>
    <t>Trademark and Tradenames</t>
  </si>
  <si>
    <t>Technology</t>
  </si>
  <si>
    <t>Developed Technology</t>
  </si>
  <si>
    <t>Contributory Asset Charges</t>
  </si>
  <si>
    <t>Projected Income Statement</t>
  </si>
  <si>
    <t>Fair Value</t>
  </si>
  <si>
    <t>Indicated</t>
  </si>
  <si>
    <t>%</t>
  </si>
  <si>
    <t>Purchase Consideration</t>
  </si>
  <si>
    <t>Equity</t>
  </si>
  <si>
    <t>Assumed Debt</t>
  </si>
  <si>
    <t>Total Purchase Consideration</t>
  </si>
  <si>
    <t>Tangible Assets</t>
  </si>
  <si>
    <t>Operating Working Capital</t>
  </si>
  <si>
    <t>Property and Equipment, Net</t>
  </si>
  <si>
    <t>Net Non-Current Assets</t>
  </si>
  <si>
    <t>Total Tangible Assets</t>
  </si>
  <si>
    <t>Intangible Assets</t>
  </si>
  <si>
    <t>Trade Name and Trademarks</t>
  </si>
  <si>
    <t>Noncompete Agreement</t>
  </si>
  <si>
    <t>Total Intangible Assets</t>
  </si>
  <si>
    <t>Implied Goodwill</t>
  </si>
  <si>
    <t>Purchase Consideration to be Allocated</t>
  </si>
  <si>
    <t>Income Statement</t>
  </si>
  <si>
    <t>Revenue</t>
  </si>
  <si>
    <t>Gross Profit</t>
  </si>
  <si>
    <t>Operating expenses (excl. Dep.)</t>
  </si>
  <si>
    <t>EBITDA</t>
  </si>
  <si>
    <t>Depreciation</t>
  </si>
  <si>
    <t>Amortization</t>
  </si>
  <si>
    <t>EBIT</t>
  </si>
  <si>
    <t>Taxes</t>
  </si>
  <si>
    <t>Net Income</t>
  </si>
  <si>
    <t>Selected performance metrics</t>
  </si>
  <si>
    <t>Revenue growth</t>
  </si>
  <si>
    <t>Gross profit margin</t>
  </si>
  <si>
    <t>EBITDA margin</t>
  </si>
  <si>
    <t>EBIT margin</t>
  </si>
  <si>
    <t>Depreciation, % of revenue</t>
  </si>
  <si>
    <t>Amortization, % of revenue</t>
  </si>
  <si>
    <t>NA</t>
  </si>
  <si>
    <t>Projected Financial Information</t>
  </si>
  <si>
    <t>Weighted Average Cost of Capital</t>
  </si>
  <si>
    <t>Beta Calculation</t>
  </si>
  <si>
    <t>Comparable Company Metrices</t>
  </si>
  <si>
    <t>Transaction Type</t>
  </si>
  <si>
    <t>Remaining Unused Life</t>
  </si>
  <si>
    <t>- Trade Name and Trademarks</t>
  </si>
  <si>
    <t>- Technology</t>
  </si>
  <si>
    <t>Probability of Competition</t>
  </si>
  <si>
    <t>Long Term Growth Rate</t>
  </si>
  <si>
    <t>Risk Free Rate</t>
  </si>
  <si>
    <t>Taxable</t>
  </si>
  <si>
    <t>Indefinite</t>
  </si>
  <si>
    <t>6 Years</t>
  </si>
  <si>
    <t>Capital expenditures</t>
  </si>
  <si>
    <t>DFNWC</t>
  </si>
  <si>
    <t>Change in DFNWC</t>
  </si>
  <si>
    <t>Cumulative years</t>
  </si>
  <si>
    <t>Terminal value calculation</t>
  </si>
  <si>
    <t>Present value of terminal cash flow</t>
  </si>
  <si>
    <t>Capitalization Factor</t>
  </si>
  <si>
    <t>Present value discrete cash flows</t>
  </si>
  <si>
    <t>Present value terminal cash flow</t>
  </si>
  <si>
    <t>Subtotal</t>
  </si>
  <si>
    <t>Tax amortization benefit</t>
  </si>
  <si>
    <t>Recommended Fair Value (rounded)</t>
  </si>
  <si>
    <t>TAB Years</t>
  </si>
  <si>
    <t>Royalty Savings</t>
  </si>
  <si>
    <t>Maintenance Charge</t>
  </si>
  <si>
    <t>Depreciation and Ammortization</t>
  </si>
  <si>
    <t>Pre Tax Income</t>
  </si>
  <si>
    <t xml:space="preserve">Add: Depreciation </t>
  </si>
  <si>
    <t>Add/(less): Changes in DFNWC</t>
  </si>
  <si>
    <t>Less: Capital expenditures</t>
  </si>
  <si>
    <t xml:space="preserve">Debt-free cash flow </t>
  </si>
  <si>
    <t>Cost of Sales</t>
  </si>
  <si>
    <t>Without Competition</t>
  </si>
  <si>
    <t>COGS % revenue</t>
  </si>
  <si>
    <t>Gross Profit Margin</t>
  </si>
  <si>
    <t>Operating Expenses % revenue</t>
  </si>
  <si>
    <t>Depreciation % revenue</t>
  </si>
  <si>
    <t>EBIDA margin</t>
  </si>
  <si>
    <t>Net working capital % revenue</t>
  </si>
  <si>
    <t>Selected assumptions</t>
  </si>
  <si>
    <t>Potential impact to revenue</t>
  </si>
  <si>
    <t>Operating expenses, total</t>
  </si>
  <si>
    <t>Net working capital</t>
  </si>
  <si>
    <t xml:space="preserve">Probability of competition </t>
  </si>
  <si>
    <t xml:space="preserve">Depreciation </t>
  </si>
  <si>
    <t>Stub</t>
  </si>
  <si>
    <t>Less: Tax</t>
  </si>
  <si>
    <t>Apr 1 to Dec 31</t>
  </si>
  <si>
    <t>Terminal</t>
  </si>
  <si>
    <t>Cost of Sales % revenue</t>
  </si>
  <si>
    <t>Operating expenses % revenue</t>
  </si>
  <si>
    <t>Cost of Equity</t>
  </si>
  <si>
    <t>Selected asset beta</t>
  </si>
  <si>
    <t xml:space="preserve">Debt to equity market value </t>
  </si>
  <si>
    <t xml:space="preserve">Expected income tax rate </t>
  </si>
  <si>
    <t>Re‑levered beta</t>
  </si>
  <si>
    <t>Market equity risk premium</t>
  </si>
  <si>
    <t>Company specific risk premium</t>
  </si>
  <si>
    <t>Cost of equity capital</t>
  </si>
  <si>
    <t>Expected income tax rate</t>
  </si>
  <si>
    <t>After-tax cost of debt</t>
  </si>
  <si>
    <t>Risk-free rate</t>
  </si>
  <si>
    <t>Target Capital Structure</t>
  </si>
  <si>
    <t>Weighted average cost of capital</t>
  </si>
  <si>
    <t>Debt</t>
  </si>
  <si>
    <t>WACC</t>
  </si>
  <si>
    <t>WACC(Rounded)</t>
  </si>
  <si>
    <t>Recommended Fair Value</t>
  </si>
  <si>
    <t>After-tax return</t>
  </si>
  <si>
    <t>Weighted return</t>
  </si>
  <si>
    <t>Required Net WC</t>
  </si>
  <si>
    <t>PPE, Net</t>
  </si>
  <si>
    <t>Identified Intangible Assets</t>
  </si>
  <si>
    <t>Total Identified Intangibles</t>
  </si>
  <si>
    <t>Fair Value (rounded)</t>
  </si>
  <si>
    <t>Cost of Debt</t>
  </si>
  <si>
    <t>Total remaining life (in years)</t>
  </si>
  <si>
    <t>Fair Value Developed Technology</t>
  </si>
  <si>
    <t>Decay rate</t>
  </si>
  <si>
    <t>Beginning of Year</t>
  </si>
  <si>
    <t>End of Year</t>
  </si>
  <si>
    <t>Average</t>
  </si>
  <si>
    <t>Revenue dependent on technology</t>
  </si>
  <si>
    <t>Developed technology revenue</t>
  </si>
  <si>
    <t>Less: Taxes</t>
  </si>
  <si>
    <t>Less: Contributory Asset Charges</t>
  </si>
  <si>
    <t>&lt;&lt;WARA</t>
  </si>
  <si>
    <t>&lt;&lt;WACC</t>
  </si>
  <si>
    <t>&lt;&lt;IRR</t>
  </si>
  <si>
    <t>(a)</t>
  </si>
  <si>
    <t>(b)</t>
  </si>
  <si>
    <t>(c)</t>
  </si>
  <si>
    <t>Size risk premium</t>
  </si>
  <si>
    <t>(d)</t>
  </si>
  <si>
    <t>Notes::</t>
  </si>
  <si>
    <t>for ASC 805 Purposes</t>
  </si>
  <si>
    <t>Signed By:</t>
  </si>
  <si>
    <t>Balance Sheet</t>
  </si>
  <si>
    <t>Historical Balance Sheet</t>
  </si>
  <si>
    <t>Historical Income Statement</t>
  </si>
  <si>
    <t>Current Assets</t>
  </si>
  <si>
    <t>Cash and Cash Equivalents</t>
  </si>
  <si>
    <t>Accounts Receivable</t>
  </si>
  <si>
    <t>Prepaid Expenses and Other Current Assets</t>
  </si>
  <si>
    <t>Total Current Assets</t>
  </si>
  <si>
    <t>Other Assets</t>
  </si>
  <si>
    <t>Total Assets</t>
  </si>
  <si>
    <t>Current Liabilities</t>
  </si>
  <si>
    <t>Current Portion of Long-term Debt</t>
  </si>
  <si>
    <t>Accounts Payable</t>
  </si>
  <si>
    <t>Other Current Liabilities</t>
  </si>
  <si>
    <t>Total Current Liabilities</t>
  </si>
  <si>
    <t>Non-Current Liabilities</t>
  </si>
  <si>
    <t>Long-Term Debt</t>
  </si>
  <si>
    <t>Other Long-Term Liabilities</t>
  </si>
  <si>
    <t>Total Non-Current Liabilities</t>
  </si>
  <si>
    <t>Total Liabilities</t>
  </si>
  <si>
    <t>Shareholders Equity</t>
  </si>
  <si>
    <t>Total Liabilities and Shareholders Equity</t>
  </si>
  <si>
    <t>Working Capital</t>
  </si>
  <si>
    <t>Cash-Free, Debt-Free Net Working Capital</t>
  </si>
  <si>
    <t>As of December 31,</t>
  </si>
  <si>
    <t>Cost of revenue</t>
  </si>
  <si>
    <t>Sales and marketing</t>
  </si>
  <si>
    <t>General and administrative</t>
  </si>
  <si>
    <t>Research and development</t>
  </si>
  <si>
    <t>Changes in DFNWC</t>
  </si>
  <si>
    <t>Key Metrices</t>
  </si>
  <si>
    <t>Present Value</t>
  </si>
  <si>
    <t>PV of cash flows with Non-Compete Agreement in Plase</t>
  </si>
  <si>
    <t>PV of cash flows without Non-Compete Agreement in Plase</t>
  </si>
  <si>
    <t>Indicated Value of non-Compete Agreement</t>
  </si>
  <si>
    <t>Fair Value Calculation</t>
  </si>
  <si>
    <t>Notes:</t>
  </si>
  <si>
    <t>Assembled Workforce</t>
  </si>
  <si>
    <t>Employee category</t>
  </si>
  <si>
    <t>Average total compensation</t>
  </si>
  <si>
    <t>Productivity loss</t>
  </si>
  <si>
    <t>A</t>
  </si>
  <si>
    <t>B</t>
  </si>
  <si>
    <t>C = A*(1+B)</t>
  </si>
  <si>
    <t>D</t>
  </si>
  <si>
    <t>F</t>
  </si>
  <si>
    <t>G</t>
  </si>
  <si>
    <t>H = (F*(1-G)/2)*(C/12)</t>
  </si>
  <si>
    <t>Number of employees</t>
  </si>
  <si>
    <t>Total recruiting costs</t>
  </si>
  <si>
    <t>Total productivity loss</t>
  </si>
  <si>
    <t>Total cost</t>
  </si>
  <si>
    <t xml:space="preserve">Total </t>
  </si>
  <si>
    <t>Senior Management</t>
  </si>
  <si>
    <t>Sales &amp; Marketing Executives</t>
  </si>
  <si>
    <t>R&amp;D Operations</t>
  </si>
  <si>
    <t>Manufacturing Operations</t>
  </si>
  <si>
    <t>Customer Support &amp; Staff</t>
  </si>
  <si>
    <t>Total Workforce cost</t>
  </si>
  <si>
    <t>Fair Value of Assembled Workforce</t>
  </si>
  <si>
    <t>Tax rate</t>
  </si>
  <si>
    <t>Tax Amortization Benefit</t>
  </si>
  <si>
    <t>Discount Rate</t>
  </si>
  <si>
    <t>Less: Income Tax</t>
  </si>
  <si>
    <t>Guideline Public Companies</t>
  </si>
  <si>
    <t xml:space="preserve">Equity beta </t>
  </si>
  <si>
    <t>Total debt</t>
  </si>
  <si>
    <t>Equity market value</t>
  </si>
  <si>
    <t>Debt/equity market value</t>
  </si>
  <si>
    <t>Income tax rate</t>
  </si>
  <si>
    <t>Asset beta</t>
  </si>
  <si>
    <t>Mean</t>
  </si>
  <si>
    <t>Median</t>
  </si>
  <si>
    <t>Beta Selected</t>
  </si>
  <si>
    <t>date</t>
  </si>
  <si>
    <t>Licensee</t>
  </si>
  <si>
    <t>Description</t>
  </si>
  <si>
    <t>Duration</t>
  </si>
  <si>
    <t>Intangible</t>
  </si>
  <si>
    <t>Royalty Rates</t>
  </si>
  <si>
    <t>Low</t>
  </si>
  <si>
    <t>High</t>
  </si>
  <si>
    <t xml:space="preserve">Agreement </t>
  </si>
  <si>
    <t>Licensor 1</t>
  </si>
  <si>
    <t>Licensor 2</t>
  </si>
  <si>
    <t>Licensor 3</t>
  </si>
  <si>
    <t>Licensor 4</t>
  </si>
  <si>
    <t>Licensor 5</t>
  </si>
  <si>
    <t>Licensor 6</t>
  </si>
  <si>
    <t>Licensor 7</t>
  </si>
  <si>
    <t>Licensor 8</t>
  </si>
  <si>
    <t>Licensor 9</t>
  </si>
  <si>
    <t>Licensor 10</t>
  </si>
  <si>
    <t>Licensor 11</t>
  </si>
  <si>
    <t>Licencee 5</t>
  </si>
  <si>
    <t>Licencee 6</t>
  </si>
  <si>
    <t>Licencee 7</t>
  </si>
  <si>
    <t>Licencee 8</t>
  </si>
  <si>
    <t>Licencee 9</t>
  </si>
  <si>
    <t>Licencee 10</t>
  </si>
  <si>
    <t>Licencee 11</t>
  </si>
  <si>
    <t>Licensor 12</t>
  </si>
  <si>
    <t>Licencee 12</t>
  </si>
  <si>
    <t>Tradename</t>
  </si>
  <si>
    <t>CFDFNWC as a % revenue</t>
  </si>
  <si>
    <t>Total Revenue</t>
  </si>
  <si>
    <t>Revenue from sale of devices</t>
  </si>
  <si>
    <t>Total operating expenses, excl depreciation</t>
  </si>
  <si>
    <t>Asset</t>
  </si>
  <si>
    <t>Debt-free net working capital (DFNWC)</t>
  </si>
  <si>
    <t>Charge (after-tax rate)</t>
  </si>
  <si>
    <t>Charge (after-tax rate), % of total revenue</t>
  </si>
  <si>
    <t>Normalized level, % of revenue</t>
  </si>
  <si>
    <t>Fixed assets (excluding land)</t>
  </si>
  <si>
    <t>Beginning PPE</t>
  </si>
  <si>
    <t>Ending PPE</t>
  </si>
  <si>
    <t>Capital expenditure</t>
  </si>
  <si>
    <t>Assembled workforce</t>
  </si>
  <si>
    <t>Non Compete Agreements - 1</t>
  </si>
  <si>
    <t>(a) Information as provided by the management.</t>
  </si>
  <si>
    <t>Non-Compete Agreement - A</t>
  </si>
  <si>
    <t>Non-Compete Agreement - B</t>
  </si>
  <si>
    <t>Non-compete Agreements</t>
  </si>
  <si>
    <t>Revenue from app subscriptions</t>
  </si>
  <si>
    <t>.1</t>
  </si>
  <si>
    <t>.2</t>
  </si>
  <si>
    <t>Income Statement Common Size</t>
  </si>
  <si>
    <t>EBITDA growth</t>
  </si>
  <si>
    <t>EBIT growth</t>
  </si>
  <si>
    <t>n/a</t>
  </si>
  <si>
    <t>March 31,</t>
  </si>
  <si>
    <t>Variance</t>
  </si>
  <si>
    <t>Inventories</t>
  </si>
  <si>
    <t>Land and Building</t>
  </si>
  <si>
    <t>Plant and Equipment</t>
  </si>
  <si>
    <t>Net Plant Property and Equipment</t>
  </si>
  <si>
    <t>Accumulated Depreciation</t>
  </si>
  <si>
    <t>Salaries and Benefirs Payabe</t>
  </si>
  <si>
    <t>Deferred taxes</t>
  </si>
  <si>
    <t>Noncurrent deferred revenue</t>
  </si>
  <si>
    <t>Noncurrent operating lease liabilities</t>
  </si>
  <si>
    <t>Revenue growth from sale of devices</t>
  </si>
  <si>
    <t>Revenue growth from app subscriptions</t>
  </si>
  <si>
    <t>Fair Value of Trade Name and Trademarks Calculation: Relief from Royalty</t>
  </si>
  <si>
    <t>Total Operating expenses</t>
  </si>
  <si>
    <t>Avg.</t>
  </si>
  <si>
    <t>3yr</t>
  </si>
  <si>
    <t>5yr</t>
  </si>
  <si>
    <t>(a) FY2020 revenue extrapolated on basis of revenue for the first three months period ending March 31, 2020</t>
  </si>
  <si>
    <r>
      <t>Stub</t>
    </r>
    <r>
      <rPr>
        <b/>
        <vertAlign val="superscript"/>
        <sz val="10"/>
        <color rgb="FFFFFFFF"/>
        <rFont val="Arial"/>
        <family val="2"/>
      </rPr>
      <t>(a)</t>
    </r>
  </si>
  <si>
    <t>Growth rate and margins</t>
  </si>
  <si>
    <t>Net profit margin</t>
  </si>
  <si>
    <r>
      <t xml:space="preserve">Growth rate and assumptions </t>
    </r>
    <r>
      <rPr>
        <b/>
        <vertAlign val="superscript"/>
        <sz val="10"/>
        <color rgb="FFFFFFFF"/>
        <rFont val="Arial"/>
        <family val="2"/>
      </rPr>
      <t>(b)</t>
    </r>
  </si>
  <si>
    <t>Agreement tenure (years)</t>
  </si>
  <si>
    <t>Revenue associated with technology</t>
  </si>
  <si>
    <t>Cost of goods sold</t>
  </si>
  <si>
    <t>Gross profit</t>
  </si>
  <si>
    <t>Selling and marketing</t>
  </si>
  <si>
    <t>Research and development - maintenance</t>
  </si>
  <si>
    <t>Gross margin</t>
  </si>
  <si>
    <t>EBITDA Margin</t>
  </si>
  <si>
    <t>Contributory assets' charge</t>
  </si>
  <si>
    <t>Selected Contributory Asset charges</t>
  </si>
  <si>
    <t>Non Compete Agreements - 2</t>
  </si>
  <si>
    <t>Excess (Deficit) Working Capital</t>
  </si>
  <si>
    <t>LTM Revenue</t>
  </si>
  <si>
    <t>Actual net working capital</t>
  </si>
  <si>
    <t>Required Net Working Capital</t>
  </si>
  <si>
    <t>Excess/(Deficit) Working Capital</t>
  </si>
  <si>
    <t>Net Working Capital Calculation</t>
  </si>
  <si>
    <t>3-year</t>
  </si>
  <si>
    <t>5-year</t>
  </si>
  <si>
    <t>LFY-4</t>
  </si>
  <si>
    <t>LFY-3</t>
  </si>
  <si>
    <t>LFY-2</t>
  </si>
  <si>
    <t>LFY-1</t>
  </si>
  <si>
    <t>LFY</t>
  </si>
  <si>
    <t>LTM</t>
  </si>
  <si>
    <t>Company 1</t>
  </si>
  <si>
    <t>Company 2</t>
  </si>
  <si>
    <t>Company 3</t>
  </si>
  <si>
    <t>Company 4</t>
  </si>
  <si>
    <t>Company 5</t>
  </si>
  <si>
    <t>Company 6</t>
  </si>
  <si>
    <t xml:space="preserve">LFY </t>
  </si>
  <si>
    <t>EBIT Margin</t>
  </si>
  <si>
    <t>Gross Margin</t>
  </si>
  <si>
    <t>Capital Expenditure % of revenue</t>
  </si>
  <si>
    <t>Depreciation % of revenue</t>
  </si>
  <si>
    <t>NWC % Revenue</t>
  </si>
  <si>
    <t>Dated:</t>
  </si>
  <si>
    <t>Rates of Return</t>
  </si>
  <si>
    <t>Financial Statements</t>
  </si>
  <si>
    <t>N/A</t>
  </si>
  <si>
    <t>Non-Current Assets</t>
  </si>
  <si>
    <t>Total Non-Current Assets</t>
  </si>
  <si>
    <t>Pre-tax Income</t>
  </si>
  <si>
    <t>Trademark royalty</t>
  </si>
  <si>
    <t>Year</t>
  </si>
  <si>
    <t>Premium over Prime Rate</t>
  </si>
  <si>
    <t>Base</t>
  </si>
  <si>
    <t>Premium</t>
  </si>
  <si>
    <t>(e)</t>
  </si>
  <si>
    <t>Present Value of cash flows</t>
  </si>
  <si>
    <t>Terminal cash flow</t>
  </si>
  <si>
    <t>(b) Cost drivers predicted on the basis of past 3-year and 5-year averages of cost % revenue and based on comparable companies' metrices.</t>
  </si>
  <si>
    <t>Actual Working Capital as of Valuation Date</t>
  </si>
  <si>
    <t>With Competition</t>
  </si>
  <si>
    <t>Fair Value of Technology - MPEEM</t>
  </si>
  <si>
    <t>Weighted Average Return on Assets</t>
  </si>
  <si>
    <t>Internal Rate of Return</t>
  </si>
  <si>
    <t>Tradename - Royalty Rate Support</t>
  </si>
  <si>
    <t>Prime Borrowing Rate</t>
  </si>
  <si>
    <t>3rd quartile</t>
  </si>
  <si>
    <t>1st quartile</t>
  </si>
  <si>
    <t>- Non-compete Agreement - A</t>
  </si>
  <si>
    <t>- Non-compete Agreement - B</t>
  </si>
  <si>
    <t>Maintainence Charge</t>
  </si>
  <si>
    <t>- Tradename</t>
  </si>
  <si>
    <t>Revenue Impact of Competition</t>
  </si>
  <si>
    <t>Capital Expenditure, Depreciation &amp; NWC %revenue</t>
  </si>
  <si>
    <t>Key Rates Assumptions</t>
  </si>
  <si>
    <t>Royalty Rate - Trade Name and Trademarks</t>
  </si>
  <si>
    <t>Color coding</t>
  </si>
  <si>
    <t>% Value</t>
  </si>
  <si>
    <t>Chief Executive's Office</t>
  </si>
  <si>
    <r>
      <t xml:space="preserve">Annual compensation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</si>
  <si>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Burden rate  (%)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</si>
  <si>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Recruiting costs per individual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</si>
  <si>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Months to full productivity </t>
    </r>
    <r>
      <rPr>
        <b/>
        <vertAlign val="superscript"/>
        <sz val="9"/>
        <color rgb="FFFFFFFF"/>
        <rFont val="Arial"/>
        <family val="2"/>
      </rPr>
      <t>(a)</t>
    </r>
  </si>
  <si>
    <r>
      <t xml:space="preserve">Productivity when hired % </t>
    </r>
    <r>
      <rPr>
        <b/>
        <vertAlign val="superscript"/>
        <sz val="9"/>
        <color rgb="FFFFFFFF"/>
        <rFont val="Arial"/>
        <family val="2"/>
      </rPr>
      <t>(a)</t>
    </r>
  </si>
  <si>
    <t>[ABC Corporation]</t>
  </si>
  <si>
    <t>[Acq.Co. Holdings Ltd.]</t>
  </si>
  <si>
    <t xml:space="preserve">Apr 1 to </t>
  </si>
  <si>
    <t xml:space="preserve">Jan 1 to  </t>
  </si>
  <si>
    <t>Exhibits</t>
  </si>
  <si>
    <t>Customer Relationships</t>
  </si>
  <si>
    <t>Beginning customer relationships revenue</t>
  </si>
  <si>
    <t xml:space="preserve">  Growth</t>
  </si>
  <si>
    <t xml:space="preserve">  Attrition</t>
  </si>
  <si>
    <t>End of year revenue</t>
  </si>
  <si>
    <t>Inventory step up</t>
  </si>
  <si>
    <t>Selling and marketing - existing</t>
  </si>
  <si>
    <t>Operating costs related to synergy</t>
  </si>
  <si>
    <t>Depreciation (tax)</t>
  </si>
  <si>
    <t>EBITA</t>
  </si>
  <si>
    <t>Technology royalty</t>
  </si>
  <si>
    <t>Pretax income (loss)</t>
  </si>
  <si>
    <t>Income tax expense</t>
  </si>
  <si>
    <t>Net income (loss)</t>
  </si>
  <si>
    <t>Add: Depreciation (tax)</t>
  </si>
  <si>
    <t>Less: Return of fixed assets</t>
  </si>
  <si>
    <t>Less: Contributory assets' charge</t>
  </si>
  <si>
    <t>After-tax cash flow</t>
  </si>
  <si>
    <t>Present value factor</t>
  </si>
  <si>
    <t>Present value of after-tax cash flow</t>
  </si>
  <si>
    <t>Fair Value of Customer Relationships: MPEEM</t>
  </si>
  <si>
    <t>Growth % of beginning revenue</t>
  </si>
  <si>
    <t>Selling and marketing - total</t>
  </si>
  <si>
    <t>Selling and marketing - new customers</t>
  </si>
  <si>
    <t>Selling and marketing - existing (a)</t>
  </si>
  <si>
    <t>EBITA margin</t>
  </si>
  <si>
    <t>Present value periods</t>
  </si>
  <si>
    <t>Selected contributory charges</t>
  </si>
  <si>
    <t>CAC, % of revenue</t>
  </si>
  <si>
    <t>Trademark charge - pretax</t>
  </si>
  <si>
    <t>Technology charge - pretax</t>
  </si>
  <si>
    <t>Customer relationships</t>
  </si>
  <si>
    <t>Developed technology</t>
  </si>
  <si>
    <t>IPR&amp;D</t>
  </si>
  <si>
    <t>Pre tax royalty income</t>
  </si>
  <si>
    <t>Royalty saved</t>
  </si>
  <si>
    <t>Technology maintenance and administration</t>
  </si>
  <si>
    <t>Net royalty income</t>
  </si>
  <si>
    <t>Customer Attrition Calculation</t>
  </si>
  <si>
    <t>Attrition:</t>
  </si>
  <si>
    <t>Total accounts</t>
  </si>
  <si>
    <t>Total accounts lost</t>
  </si>
  <si>
    <t>Customers</t>
  </si>
  <si>
    <t>S. No.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</si>
  <si>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</si>
  <si>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</si>
  <si>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</si>
  <si>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</si>
  <si>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</si>
  <si>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</si>
  <si>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</si>
  <si>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</si>
  <si>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</si>
  <si>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</si>
  <si>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</si>
  <si>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</si>
  <si>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</si>
  <si>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</si>
  <si>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</si>
  <si>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</si>
  <si>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</si>
  <si>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</si>
  <si>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</si>
  <si>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</si>
  <si>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</si>
  <si>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</si>
  <si>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</si>
  <si>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</si>
  <si>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</si>
  <si>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</si>
  <si>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</si>
  <si>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</si>
  <si>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</si>
  <si>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</si>
  <si>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</si>
  <si>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</si>
  <si>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</si>
  <si>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</si>
  <si>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</si>
  <si>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</si>
  <si>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</si>
  <si>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</si>
  <si>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</si>
  <si>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</si>
  <si>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</si>
  <si>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</si>
  <si>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</si>
  <si>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</si>
  <si>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</si>
  <si>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</si>
  <si>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</si>
  <si>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</si>
  <si>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</si>
  <si>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</si>
  <si>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</si>
  <si>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</si>
  <si>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</si>
  <si>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</si>
  <si>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</si>
  <si>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</si>
  <si>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</si>
  <si>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</si>
  <si>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</si>
  <si>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</si>
  <si>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</si>
  <si>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</si>
  <si>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</si>
  <si>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</si>
  <si>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</si>
  <si>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</si>
  <si>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</si>
  <si>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</si>
  <si>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</si>
  <si>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</si>
  <si>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</si>
  <si>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</si>
  <si>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</si>
  <si>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</si>
  <si>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</si>
  <si>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</si>
  <si>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</si>
  <si>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</si>
  <si>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</si>
  <si>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</si>
  <si>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</si>
  <si>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Year on year</t>
  </si>
  <si>
    <t>Mean:</t>
  </si>
  <si>
    <t>Median:</t>
  </si>
  <si>
    <t>Attrition Threshold</t>
  </si>
  <si>
    <t>Sales Attrition Calculation</t>
  </si>
  <si>
    <t>Other Exhibits and Workpapers</t>
  </si>
  <si>
    <t>Inventory</t>
  </si>
  <si>
    <t>Workpapers</t>
  </si>
  <si>
    <t>Intangible Assets Valuation</t>
  </si>
  <si>
    <t>Licensee 1</t>
  </si>
  <si>
    <t>Licensee 2</t>
  </si>
  <si>
    <t>Licensee 3</t>
  </si>
  <si>
    <t>Licensee 4</t>
  </si>
  <si>
    <t>Licensee 5</t>
  </si>
  <si>
    <t>Licensee 6</t>
  </si>
  <si>
    <t>Licensee 7</t>
  </si>
  <si>
    <t>Licensee 8</t>
  </si>
  <si>
    <t>Licensee 9</t>
  </si>
  <si>
    <t>Licensee 10</t>
  </si>
  <si>
    <t>Licensee 11</t>
  </si>
  <si>
    <t>Licensee 12</t>
  </si>
  <si>
    <t>Marketable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</si>
</sst>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0"/>
    <numFmt numFmtId="166" formatCode="yyyy"/>
    <numFmt numFmtId="167" formatCode="0.0"/>
    <numFmt numFmtId="168" formatCode="[$-409]mmm/yy;@"/>
    <numFmt numFmtId="169" formatCode="#,##0.0_);\(#,##0.0\)"/>
    <numFmt numFmtId="170" formatCode="&quot;$&quot;#,##0.0_);\(&quot;$&quot;#,##0.0\)"/>
    <numFmt numFmtId="171" formatCode=";;;"/>
    <numFmt numFmtId="172" formatCode="_(* #,##0.0_);_(* \(#,##0.0\);_(* &quot;-&quot;??_);_(@_)"/>
    <numFmt numFmtId="173" formatCode="_(* #,##0_);_(* \(#,##0\);_(* &quot;-&quot;??_);_(@_)"/>
    <numFmt numFmtId="174" formatCode="#,##0.0\ ;\(#,##0.0\)"/>
    <numFmt numFmtId="175" formatCode="0.0000000000000\x"/>
    <numFmt numFmtId="176" formatCode="0.00000000000000\x"/>
    <numFmt numFmtId="177" formatCode="0.000000000000000\x"/>
    <numFmt numFmtId="178" formatCode="0%;[Red]\(0%\)"/>
    <numFmt numFmtId="179" formatCode="_-&quot;$&quot;* #,##0_-;\-&quot;$&quot;* #,##0_-;_-&quot;$&quot;* &quot;-&quot;_-;_-@_-"/>
    <numFmt numFmtId="180" formatCode="_-* #,##0_-;\-* #,##0_-;_-* &quot;-&quot;_-;_-@_-"/>
    <numFmt numFmtId="181" formatCode="_-&quot;$&quot;* #,##0.00_-;\-&quot;$&quot;* #,##0.00_-;_-&quot;$&quot;* &quot;-&quot;??_-;_-@_-"/>
    <numFmt numFmtId="182" formatCode="_(* &quot;$&quot;\ #,##0\ \ ;_(* &quot;$&quot;\ \(#,##0\)\ ;_(* &quot;-&quot;\ \ ;_(@\ "/>
    <numFmt numFmtId="183" formatCode="0.0_)\%;\(0.0\)\%;0.0_)\%;@_)_%"/>
    <numFmt numFmtId="184" formatCode="#,##0.0_)_%;\(#,##0.0\)_%;0.0_)_%;@_)_%"/>
    <numFmt numFmtId="185" formatCode="_(* #,##0\ \ ;_(* \(#,##0\)\ \ ;_(* &quot;-&quot;\ \ ;_(* @_)"/>
    <numFmt numFmtId="186" formatCode="#,##0.0_);\(#,##0.0\);#,##0.0_);@_)"/>
    <numFmt numFmtId="187" formatCode="&quot;$&quot;_(#,##0.00_);&quot;$&quot;\(#,##0.00\)"/>
    <numFmt numFmtId="188" formatCode="&quot;$&quot;_(#,##0.00_);&quot;$&quot;\(#,##0.00\);&quot;$&quot;_(0.00_);@_)"/>
    <numFmt numFmtId="189" formatCode="#,##0.00_);\(#,##0.00\);0.00_);@_)"/>
    <numFmt numFmtId="190" formatCode="\€_(#,##0.00_);\€\(#,##0.00\);\€_(0.00_);@_)"/>
    <numFmt numFmtId="191" formatCode="\£_(#,##0_);\£\(#,##0\)"/>
    <numFmt numFmtId="192" formatCode="* \L\+0.00%;* \L\-0.00%;* @\ \ "/>
    <numFmt numFmtId="193" formatCode="* \L\+0.00%;* \L\-0.00%;* &quot;-&quot;\ \ ;* @\ \ "/>
    <numFmt numFmtId="194" formatCode="#,##0.0_)\x;\(#,##0.0\)\x"/>
    <numFmt numFmtId="195" formatCode="#,##0.0\ \x;\(#,##0.0\)\x;@\ \ "/>
    <numFmt numFmtId="196" formatCode="#,##0.0\ \x;\(#,##0.0\)\x;@\ "/>
    <numFmt numFmtId="197" formatCode="#,##0_)\x;\(#,##0\)\x;0_)\x;@_)_x"/>
    <numFmt numFmtId="198" formatCode="#,##0.0\ \x;\(#,##0.0\)\x;@\ \ \x"/>
    <numFmt numFmtId="199" formatCode="#,##0.0_)_x;\(#,##0.0\)_x"/>
    <numFmt numFmtId="200" formatCode="#,##0_)_x;\(#,##0\)_x;0_)_x;@_)_x"/>
    <numFmt numFmtId="201" formatCode="0.0_)\%;\(0.0\)\%"/>
    <numFmt numFmtId="202" formatCode="* 0.0%;* \(0.0\)%;* &quot;-&quot;\ \ ;* @\ \ "/>
    <numFmt numFmtId="203" formatCode="0.0%;\(0.0\)%;@\ \ "/>
    <numFmt numFmtId="204" formatCode="#,##0.0_)_%;\(#,##0.0\)_%"/>
    <numFmt numFmtId="205" formatCode="#,##0.0000\ "/>
    <numFmt numFmtId="206" formatCode="_(\£* #,##0_);_(\£* \(#,##0\);_(\£* &quot;-&quot;_);_(@_)"/>
    <numFmt numFmtId="207" formatCode="_(\£* #,##0.0_);_(\£* \(#,##0.0\);_(\£* &quot;-&quot;_);_(@_)"/>
    <numFmt numFmtId="208" formatCode="_(\£* #,##0.00_);_(\£* \(#,##0.00\);_(\£* &quot;-&quot;_);_(@_)"/>
    <numFmt numFmtId="209" formatCode="_(* #,##0\p_);_(* \(#,##0\p\);_(* &quot;-&quot;\ \p_);_(@_)"/>
    <numFmt numFmtId="210" formatCode="_(* #,##0.00\p_);_(* \(#,##0.00\p\);_(* &quot;-&quot;\ \p_);_(@_)"/>
    <numFmt numFmtId="211" formatCode="\£#,##0.00"/>
    <numFmt numFmtId="212" formatCode="0.0000000000000000\x"/>
    <numFmt numFmtId="213" formatCode="&quot;$&quot;#,##0.00"/>
    <numFmt numFmtId="214" formatCode="0.00%;[Red]\(0.00%\)"/>
    <numFmt numFmtId="215" formatCode="#,##0&quot; kr&quot;;[Red]\-#,##0&quot; kr&quot;"/>
    <numFmt numFmtId="216" formatCode="0\ \ \ \ \ \ "/>
    <numFmt numFmtId="217" formatCode="&quot;$&quot;0.00\ \ \ _);\(&quot;$&quot;0.00\)\ \ \ "/>
    <numFmt numFmtId="218" formatCode="0.0\ \ \ \ \ _);\(0.0\)\ \ \ \ \ "/>
    <numFmt numFmtId="219" formatCode="0.00\ \x\ \ _);\(0.00\)\ \x\ \ "/>
    <numFmt numFmtId="220" formatCode="0.00\ \ \ \ \ _);\(0.00\)\ \ \ \ \ "/>
    <numFmt numFmtId="221" formatCode="0.0\ \ \ _);\(0.0\)\ \ \ "/>
    <numFmt numFmtId="222" formatCode="[Blue]#,##0.000_);[Blue]\(#,##0.000\)"/>
    <numFmt numFmtId="223" formatCode="[Blue]&quot;$&quot;#,##0.000_);[Blue]\(&quot;$&quot;#,##0.000\)"/>
    <numFmt numFmtId="224" formatCode="&quot;$&quot;#,##0.0_);[Red]\(&quot;$&quot;#,##0.0\);&quot;$&quot;0.0_);@_)"/>
    <numFmt numFmtId="225" formatCode="#,##0\ ;\(#,##0\);\-\ \ \ \ \ "/>
    <numFmt numFmtId="226" formatCode="#,##0\ ;\(#,##0\);\–\ \ \ \ \ "/>
    <numFmt numFmtId="227" formatCode="#,##0.00&quot; $&quot;;\-#,##0.00&quot; $&quot;"/>
    <numFmt numFmtId="228" formatCode="_(* #,##0.0_);_(* \(#,##0.0\);_(* &quot;-&quot;?_);_(@_)"/>
    <numFmt numFmtId="229" formatCode="0.00;[Red]0.00"/>
    <numFmt numFmtId="230" formatCode="#,##0.00&quot; F&quot;_);\(#,##0.00&quot; F&quot;\)"/>
    <numFmt numFmtId="231" formatCode="_(* #,##0.00000_);_(* \(#,##0.00000\);_(* &quot;-&quot;??_);_(@_)"/>
    <numFmt numFmtId="232" formatCode="0.00_)"/>
    <numFmt numFmtId="233" formatCode="#,##0.0_);[Red]\(#,##0.0\)"/>
    <numFmt numFmtId="234" formatCode="#,##0_%_);\(#,##0\)_%;#,##0_%_);@_%_)"/>
    <numFmt numFmtId="235" formatCode="#,##0_%_);\(#,##0\)_%;**;@_%_)"/>
    <numFmt numFmtId="236" formatCode="#,##0.00_%_);\(#,##0.00\)_%;#,##0.00_%_);@_%_)"/>
    <numFmt numFmtId="237" formatCode="#,##0.000_%_);\(#,##0.000\)_%;**;@_%_)"/>
    <numFmt numFmtId="238" formatCode="General_)"/>
    <numFmt numFmtId="239" formatCode="&quot;$&quot;#,##0.0_);[Red]\(&quot;$&quot;#,##0.0\)"/>
    <numFmt numFmtId="240" formatCode="&quot;$&quot;#,##0_%_);\(&quot;$&quot;#,##0\)_%;&quot;$&quot;#,##0_%_);@_%_)"/>
    <numFmt numFmtId="241" formatCode="&quot;$&quot;#,##0.00_%_);\(&quot;$&quot;#,##0.00\)_%;&quot;$&quot;#,##0.00_%_);@_%_)"/>
    <numFmt numFmtId="242" formatCode="&quot;$&quot;#,##0.00_%_);\(&quot;$&quot;#,##0.00\)_%;**;@_%_)"/>
    <numFmt numFmtId="243" formatCode="&quot;$&quot;#,##0.000_%_);\(&quot;$&quot;#,##0.000\)_%;**;@_%_)"/>
    <numFmt numFmtId="244" formatCode="mmm\-d\-yy"/>
    <numFmt numFmtId="245" formatCode="mmm\-d\-yyyy"/>
    <numFmt numFmtId="246" formatCode="m/d/yy_%_)"/>
    <numFmt numFmtId="247" formatCode="#,##0.00&quot; kr&quot;;\-#,##0.00&quot; kr&quot;"/>
    <numFmt numFmtId="248" formatCode="yyyy&quot;E&quot;"/>
    <numFmt numFmtId="249" formatCode="_ * #,##0_ ;_ * \-#,##0_ ;_ * &quot;-&quot;_ ;_ @_ "/>
    <numFmt numFmtId="250" formatCode="_ * #,##0.00_ ;_ * \-#,##0.00_ ;_ * &quot;-&quot;??_ ;_ @_ "/>
    <numFmt numFmtId="251" formatCode="0_%_);\(0\)_%;0_%_);@_%_)"/>
    <numFmt numFmtId="252" formatCode="###0_);\(###0\)"/>
    <numFmt numFmtId="253" formatCode="#,##0&quot; kr&quot;;\-#,##0&quot; kr&quot;"/>
    <numFmt numFmtId="254" formatCode="\«#,##0;_(* #,##0;_(* &quot;-&quot;??_);_(@_)"/>
    <numFmt numFmtId="255" formatCode="&quot;$&quot;#,##0.000"/>
    <numFmt numFmtId="256" formatCode="#,##0\ \ ;\(#,##0\)\ ;\—\ \ \ \ "/>
    <numFmt numFmtId="257" formatCode="0.0%;[Red]\(0.0%\)"/>
    <numFmt numFmtId="258" formatCode="#,##0.00&quot; kr&quot;;[Red]\-#,##0.00&quot; kr&quot;"/>
    <numFmt numFmtId="259" formatCode="&quot;$&quot;#,##0\ ;\-&quot;$&quot;#,##0"/>
    <numFmt numFmtId="260" formatCode="_-* #,##0\ _F_-;\-* #,##0\ _F_-;_-* &quot;-&quot;\ _F_-;_-@_-"/>
    <numFmt numFmtId="261" formatCode="_-* #,##0.00\ _F_-;\-* #,##0.00\ _F_-;_-* &quot;-&quot;??\ _F_-;_-@_-"/>
    <numFmt numFmtId="262" formatCode="_-* #,##0&quot; kr&quot;_-;\-* #,##0&quot; kr&quot;_-;_-* &quot;-&quot;&quot; kr&quot;_-;_-@_-"/>
    <numFmt numFmtId="263" formatCode="_-* #,##0_ _k_r_-;\-* #,##0_ _k_r_-;_-* &quot;-&quot;_ _k_r_-;_-@_-"/>
    <numFmt numFmtId="264" formatCode="_-* #,##0.00&quot; kr&quot;_-;\-* #,##0.00&quot; kr&quot;_-;_-* &quot;-&quot;??&quot; kr&quot;_-;_-@_-"/>
    <numFmt numFmtId="265" formatCode="_-* #,##0.00_ _k_r_-;\-* #,##0.00_ _k_r_-;_-* &quot;-&quot;??_ _k_r_-;_-@_-"/>
    <numFmt numFmtId="266" formatCode="_(* #,##0.0000_);_(* \(#,##0.0000\);_(* &quot;-&quot;_);_(@_)"/>
    <numFmt numFmtId="267" formatCode="_-* #,##0\ &quot;F&quot;_-;\-* #,##0\ &quot;F&quot;_-;_-* &quot;-&quot;\ &quot;F&quot;_-;_-@_-"/>
    <numFmt numFmtId="268" formatCode="_-* #,##0.00\ &quot;F&quot;_-;\-* #,##0.00\ &quot;F&quot;_-;_-* &quot;-&quot;??\ &quot;F&quot;_-;_-@_-"/>
    <numFmt numFmtId="269" formatCode="0.0\ \ "/>
    <numFmt numFmtId="270" formatCode="&quot;$&quot;#,##0.0_);&quot;$&quot;\(#,##0.0\)"/>
    <numFmt numFmtId="271" formatCode="_(* #,##0.000_);_(* \(#,##0.000\);_(* &quot;-&quot;??_);_(@_)"/>
    <numFmt numFmtId="272" formatCode="_(* #,##0.00\ ___);_(* \(#,##0.00\ __\);_(* &quot;-&quot;??_);_(@_)"/>
    <numFmt numFmtId="273" formatCode="_(* #,##0\ \x_);_(* \(#,##0\ \x\);_(* &quot;-&quot;??_);_(@_)"/>
    <numFmt numFmtId="274" formatCode="_(* #,##0\ ___);_(* \(#,##0\ __\);_(* &quot;-&quot;??_);_(@_)"/>
    <numFmt numFmtId="275" formatCode="_(* #,##0.0\ \x_);_(* \(#,##0.0\ \x\);_(* &quot;-&quot;??_);_(@_)"/>
    <numFmt numFmtId="276" formatCode="_(* #,##0.0\ ___);_(* \(#,##0.0\ __\);_(* &quot;-&quot;??_);_(@_)"/>
    <numFmt numFmtId="277" formatCode="#,##0.0_x_)_);&quot;NM&quot;_x_)_);#,##0.0_x_)_);@_x_)_)"/>
    <numFmt numFmtId="278" formatCode="0.0_)_x;\(0.0\)_x"/>
    <numFmt numFmtId="279" formatCode="0.000%"/>
    <numFmt numFmtId="280" formatCode="#,##0.000_);[Red]\(#,##0.000\)"/>
    <numFmt numFmtId="281" formatCode="#,##0.0_)\ \ ;[Red]\(#,##0.0\)\ \ "/>
    <numFmt numFmtId="282" formatCode="&quot;$&quot;#,##0.0000"/>
    <numFmt numFmtId="283" formatCode="#,##0.0\ \ \ ;\(#,##0.0\)\ \ "/>
    <numFmt numFmtId="284" formatCode="0.0\ _)_%;\(0.0\)\ _%;0.0\ _)_%;@_)_%"/>
    <numFmt numFmtId="285" formatCode="0.0%;\(0.0%\)"/>
    <numFmt numFmtId="286" formatCode="0%_);\(0%\)"/>
    <numFmt numFmtId="287" formatCode="_-* #,##0.0_-;\-* #,##0.0_-;_-* &quot;-&quot;??_-;_-@_-"/>
    <numFmt numFmtId="288" formatCode="0.0_%"/>
    <numFmt numFmtId="289" formatCode="_(0.0%;_(* \(0.0\)%"/>
    <numFmt numFmtId="290" formatCode="0.0%_);\(0.0%\);**;@_%_)"/>
    <numFmt numFmtId="291" formatCode="&quot;$&quot;#,##0.000_);\(&quot;$&quot;#,##0.000\)"/>
    <numFmt numFmtId="292" formatCode="_(* #,##0%_);_(* \(#,##0%\);_(* &quot;-&quot;_);_(@_)"/>
    <numFmt numFmtId="293" formatCode="0.0%&quot;Sales&quot;"/>
    <numFmt numFmtId="294" formatCode="#,##0_)&quot; %&quot;;[Red]\(#,##0\)&quot; %&quot;"/>
    <numFmt numFmtId="295" formatCode="#,##0.00;[Red]\(#,##0.00\)"/>
    <numFmt numFmtId="296" formatCode="mm/dd/yy"/>
    <numFmt numFmtId="297" formatCode="_(&quot;SGD&quot;\ * #,##0.00_);_(&quot;SGD&quot;\ * \(#,##0.00\);_(* &quot;-&quot;_);_(@_)"/>
    <numFmt numFmtId="298" formatCode="0.0_)_%;\(0.0\)_%;0.0_%_);@_)_%"/>
    <numFmt numFmtId="299" formatCode="0.0\x"/>
    <numFmt numFmtId="300" formatCode="#,##0.00_);\(#,##0.00\);_(* &quot;-&quot;_)"/>
    <numFmt numFmtId="301" formatCode="#,##0.0_);\(#,##0.0\);_(* &quot;-&quot;_)"/>
    <numFmt numFmtId="302" formatCode="#,##0_);\(#,##0\);_(* &quot;-&quot;_);_(* &quot;-&quot;_)"/>
    <numFmt numFmtId="303" formatCode="_(&quot;$&quot;* #,##0.00_);_(&quot;$&quot;* \(#,##0.00\);_(* &quot;-&quot;_);_(@_)"/>
    <numFmt numFmtId="304" formatCode="_(###.##%_);\(* &quot;-&quot;_);_(@_)"/>
    <numFmt numFmtId="305" formatCode="m/d/yy"/>
    <numFmt numFmtId="306" formatCode="#,##0.00\x"/>
    <numFmt numFmtId="307" formatCode="#,##0&quot; $&quot;;\-#,##0&quot; $&quot;"/>
    <numFmt numFmtId="308" formatCode="#,##0&quot; $&quot;;[Red]\-#,##0&quot; $&quot;"/>
    <numFmt numFmtId="309" formatCode="_(* #,##0.000000_);_(* \(#,##0.000000\);_(* &quot;-&quot;??_);_(@_)"/>
    <numFmt numFmtId="310" formatCode="_(* #,##0.00000_);_(* \(#,##0.00000\);_(* &quot;-&quot;?????_);_(@_)"/>
    <numFmt numFmtId="311" formatCode="_(&quot;$&quot;* #,##0.00000_);_(&quot;$&quot;* \(#,##0.00000\);_(&quot;$&quot;* &quot;-&quot;?????_);_(@_)"/>
    <numFmt numFmtId="312" formatCode="&quot;$&quot;#,##0.000000_);\(&quot;$&quot;#,##0.000000\)"/>
    <numFmt numFmtId="313" formatCode="0.0000000"/>
    <numFmt numFmtId="314" formatCode="0.000000"/>
    <numFmt numFmtId="315" formatCode="&quot;\&quot;#,##0.00;[Red]&quot;\&quot;\-#,##0.00"/>
    <numFmt numFmtId="316" formatCode="&quot;\&quot;#,##0;[Red]&quot;\&quot;\-#,##0"/>
    <numFmt numFmtId="317" formatCode="#,##0;\(#,##0\)"/>
    <numFmt numFmtId="318" formatCode="_-&quot;\&quot;* #,##0_-;\-&quot;\&quot;* #,##0_-;_-&quot;\&quot;* &quot;-&quot;_-;_-@_-"/>
    <numFmt numFmtId="319" formatCode="_-&quot;\&quot;* #,##0.00_-;\-&quot;\&quot;* #,##0.00_-;_-&quot;\&quot;* &quot;-&quot;??_-;_-@_-"/>
    <numFmt numFmtId="320" formatCode="_-* #,##0.00_-;\-* #,##0.00_-;_-* &quot;-&quot;??_-;_-@_-"/>
    <numFmt numFmtId="321" formatCode="#."/>
    <numFmt numFmtId="322" formatCode="#,##0_ "/>
    <numFmt numFmtId="323" formatCode="&quot;\&quot;#\!\,##0;&quot;\&quot;&quot;\&quot;&quot;\&quot;&quot;\&quot;&quot;\&quot;\!\-#\!\,##0"/>
    <numFmt numFmtId="324" formatCode="#,##0\ &quot;DM&quot;;[Red]\-#,##0\ &quot;DM&quot;"/>
    <numFmt numFmtId="325" formatCode="#,##0;[Red]\(#,##0\);\-"/>
    <numFmt numFmtId="326" formatCode="#\!\,##0;[Red]&quot;-&quot;#\!\,##0"/>
    <numFmt numFmtId="327" formatCode="#,##0;[Red]\-#,##0;\-"/>
    <numFmt numFmtId="328" formatCode="_ * #,##0_ ;_ * &quot;\&quot;&quot;\&quot;&quot;\&quot;&quot;\&quot;&quot;\&quot;&quot;\&quot;\-#,##0_ ;_ * &quot;-&quot;_ ;_ @_ "/>
    <numFmt numFmtId="329" formatCode="&quot;\&quot;#,##0.00;[Red]&quot;\&quot;&quot;\&quot;&quot;\&quot;&quot;\&quot;&quot;\&quot;&quot;\&quot;&quot;\&quot;\-#,##0.00"/>
    <numFmt numFmtId="330" formatCode="&quot;\&quot;#,##0;&quot;\&quot;\-#,##0"/>
    <numFmt numFmtId="331" formatCode="_ &quot;\&quot;* #,##0_ ;_ &quot;\&quot;* \-#,##0_ ;_ &quot;\&quot;* &quot;-&quot;_ ;_ @_ "/>
    <numFmt numFmtId="332" formatCode="_ &quot;\&quot;* #,##0.00_ ;_ &quot;\&quot;* \-#,##0.00_ ;_ &quot;\&quot;* &quot;-&quot;??_ ;_ @_ "/>
    <numFmt numFmtId="333" formatCode="&quot;kr&quot;\ #,##0.00;&quot;kr&quot;\ \-#,##0.00"/>
    <numFmt numFmtId="334" formatCode="[$-409]mmm\-yy;@"/>
    <numFmt numFmtId="335" formatCode="0.00%_);[Red]\(0.00%\)"/>
    <numFmt numFmtId="336" formatCode="d/m/yy"/>
    <numFmt numFmtId="337" formatCode="#,##0\ \ \ \ ;[Red]\(#,##0\)\ \ \ ;\—\ \ \ \ "/>
    <numFmt numFmtId="338" formatCode="#,##0.000_);\(#,##0.000\)"/>
    <numFmt numFmtId="339" formatCode="_([$€-2]* #,##0.00_);_([$€-2]* \(#,##0.00\);_([$€-2]* &quot;-&quot;??_)"/>
    <numFmt numFmtId="340" formatCode="0.00%;[Red]\(0.0%\)"/>
    <numFmt numFmtId="341" formatCode="#,##0.0\%_);\(#,##0.0\%\);#,##0.0\%_);@_%_)"/>
    <numFmt numFmtId="342" formatCode="&quot;$&quot;#,##0_);\(&quot;$&quot;#,##0\);&quot;   $---   &quot;"/>
    <numFmt numFmtId="343" formatCode="[Blue]#,##0\ \ \ ;[Blue]\(#,##0\)\ \ "/>
    <numFmt numFmtId="344" formatCode="0.0\ \x\ ;&quot;NM   &quot;;0.0\ \x"/>
    <numFmt numFmtId="345" formatCode="&quot;$&quot;&quot; &quot;#,##0_);\(&quot;$&quot;&quot; &quot;#,##0\);\-_)"/>
    <numFmt numFmtId="346" formatCode="0000"/>
    <numFmt numFmtId="347" formatCode="000000"/>
    <numFmt numFmtId="348" formatCode="_-&quot;S&quot;\ * #,##0.00_-;\-&quot;S&quot;\ * #,##0.00_-;_-&quot;S&quot;\ * &quot;-&quot;??_-;_-@_-"/>
    <numFmt numFmtId="349" formatCode="&quot;$&quot;\ \ #,##0_);[Red]\(&quot;$&quot;#,##0\)"/>
    <numFmt numFmtId="350" formatCode="#,##0.0%;\(#,##0.0%\)"/>
    <numFmt numFmtId="351" formatCode="0.0000_);[Red]\(0.0000\)"/>
    <numFmt numFmtId="352" formatCode="0.0000%"/>
    <numFmt numFmtId="353" formatCode="&quot;$&quot;#,##0.0;\(&quot;$&quot;#,##0.0\)"/>
    <numFmt numFmtId="354" formatCode="\ \ &quot;$&quot;* #,##0_);[Red]\ \ &quot;$&quot;* \(#,##0\);\ \ &quot;$&quot;* 0_)"/>
    <numFmt numFmtId="355" formatCode="0.0%_);\(0.0%\)"/>
    <numFmt numFmtId="356" formatCode="0.000"/>
    <numFmt numFmtId="357" formatCode="0&quot; Years&quot;"/>
    <numFmt numFmtId="358" formatCode="0.0&quot; Years&quot;"/>
    <numFmt numFmtId="359" formatCode="0.0%;\ \(0.0%\)"/>
    <numFmt numFmtId="362" formatCode="#,##0.0000"/>
    <numFmt numFmtId="364" formatCode="#,##0;\(#,##0\);&quot;-&quot;"/>
  </numFmts>
  <fonts count="3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i/>
      <sz val="9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212121"/>
      <name val="Arial"/>
      <family val="2"/>
    </font>
    <font>
      <b/>
      <i/>
      <u/>
      <sz val="10"/>
      <color rgb="FF212121"/>
      <name val="Arial"/>
      <family val="2"/>
    </font>
    <font>
      <i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u/>
      <sz val="10"/>
      <color rgb="FF000000"/>
      <name val="Arial"/>
      <family val="2"/>
    </font>
    <font>
      <b/>
      <sz val="10"/>
      <name val="Arial Narrow"/>
      <family val="2"/>
    </font>
    <font>
      <sz val="9"/>
      <color theme="1"/>
      <name val="Arial"/>
      <family val="2"/>
    </font>
    <font>
      <sz val="16"/>
      <color theme="1"/>
      <name val="Arial"/>
      <family val="2"/>
    </font>
    <font>
      <sz val="9"/>
      <name val="Arial"/>
      <family val="2"/>
    </font>
    <font>
      <sz val="10"/>
      <color rgb="FF3949AB"/>
      <name val="Arial"/>
      <family val="2"/>
    </font>
    <font>
      <b/>
      <sz val="10"/>
      <name val="Arial"/>
      <family val="2"/>
    </font>
    <font>
      <b/>
      <vertAlign val="superscript"/>
      <sz val="10"/>
      <color rgb="FFFFFFFF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i/>
      <sz val="10"/>
      <name val="Arial"/>
      <family val="2"/>
    </font>
    <font>
      <b/>
      <sz val="60"/>
      <color theme="0" tint="-0.499984740745262"/>
      <name val="Arial"/>
      <family val="2"/>
    </font>
    <font>
      <b/>
      <sz val="50"/>
      <color theme="0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name val="Palatino Linotype"/>
      <family val="1"/>
    </font>
    <font>
      <sz val="10"/>
      <color theme="1"/>
      <name val="Palatino Linotype"/>
      <family val="2"/>
    </font>
    <font>
      <b/>
      <sz val="10"/>
      <name val="MS Sans Serif"/>
      <family val="2"/>
    </font>
    <font>
      <sz val="8"/>
      <name val="MS Serif"/>
      <family val="1"/>
    </font>
    <font>
      <sz val="8"/>
      <name val="Times New Roman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Arial Narrow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sz val="8"/>
      <color indexed="12"/>
      <name val="Arial Narrow"/>
      <family val="2"/>
    </font>
    <font>
      <b/>
      <sz val="11"/>
      <color indexed="9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8"/>
      <color indexed="8"/>
      <name val="Arial Narrow"/>
      <family val="2"/>
    </font>
    <font>
      <b/>
      <sz val="9"/>
      <color indexed="18"/>
      <name val="Arial"/>
      <family val="2"/>
    </font>
    <font>
      <b/>
      <u val="singleAccounting"/>
      <sz val="8"/>
      <name val="Arial"/>
      <family val="2"/>
    </font>
    <font>
      <b/>
      <u val="singleAccounting"/>
      <sz val="8"/>
      <name val="Arial Narrow"/>
      <family val="2"/>
    </font>
    <font>
      <b/>
      <u val="singleAccounting"/>
      <sz val="10"/>
      <color indexed="18"/>
      <name val="Arial"/>
      <family val="2"/>
    </font>
    <font>
      <sz val="8"/>
      <color indexed="8"/>
      <name val="Times New Roman"/>
      <family val="1"/>
    </font>
    <font>
      <sz val="8"/>
      <color indexed="14"/>
      <name val="Times New Roman"/>
      <family val="1"/>
    </font>
    <font>
      <sz val="8"/>
      <name val="Helvetica"/>
      <family val="2"/>
    </font>
    <font>
      <u/>
      <sz val="10"/>
      <name val="Arial"/>
      <family val="2"/>
    </font>
    <font>
      <sz val="8"/>
      <name val="Arial"/>
      <family val="2"/>
    </font>
    <font>
      <sz val="8"/>
      <name val="Times"/>
      <family val="1"/>
    </font>
    <font>
      <sz val="8"/>
      <name val="Tahoma"/>
      <family val="2"/>
    </font>
    <font>
      <sz val="8"/>
      <name val="Tms Rmn"/>
    </font>
    <font>
      <sz val="8"/>
      <color indexed="12"/>
      <name val="Times New Roman"/>
      <family val="1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8"/>
      <name val="Verdana"/>
      <family val="2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2"/>
      <color indexed="63"/>
      <name val="Times New Roman"/>
      <family val="1"/>
    </font>
    <font>
      <sz val="11"/>
      <name val="Times New Roman"/>
      <family val="1"/>
    </font>
    <font>
      <b/>
      <sz val="10"/>
      <name val="MS Serif"/>
      <family val="1"/>
    </font>
    <font>
      <sz val="10"/>
      <name val="Courier New"/>
      <family val="3"/>
    </font>
    <font>
      <sz val="8"/>
      <color indexed="17"/>
      <name val="Times New Roman"/>
      <family val="1"/>
    </font>
    <font>
      <b/>
      <sz val="8"/>
      <name val="Arial"/>
      <family val="2"/>
    </font>
    <font>
      <sz val="8"/>
      <color indexed="12"/>
      <name val="Helv"/>
    </font>
    <font>
      <sz val="8"/>
      <name val="Palatino"/>
      <family val="1"/>
    </font>
    <font>
      <b/>
      <sz val="8"/>
      <name val="Helv"/>
    </font>
    <font>
      <b/>
      <sz val="14"/>
      <name val="Arial"/>
      <family val="2"/>
    </font>
    <font>
      <b/>
      <sz val="11"/>
      <name val="Times New Roman"/>
      <family val="1"/>
    </font>
    <font>
      <sz val="10"/>
      <name val="MS Serif"/>
      <family val="1"/>
    </font>
    <font>
      <sz val="10"/>
      <name val="BERNHARD"/>
    </font>
    <font>
      <sz val="12"/>
      <name val="Helv"/>
    </font>
    <font>
      <sz val="10"/>
      <name val="Helv"/>
      <family val="2"/>
    </font>
    <font>
      <b/>
      <i/>
      <strike/>
      <sz val="12"/>
      <color indexed="48"/>
      <name val="Arial"/>
      <family val="2"/>
    </font>
    <font>
      <sz val="8"/>
      <color indexed="9"/>
      <name val="Arial"/>
      <family val="2"/>
    </font>
    <font>
      <sz val="8"/>
      <color indexed="12"/>
      <name val="Arial"/>
      <family val="2"/>
    </font>
    <font>
      <sz val="10"/>
      <color indexed="8"/>
      <name val="Arial"/>
      <family val="2"/>
    </font>
    <font>
      <b/>
      <sz val="7"/>
      <color indexed="12"/>
      <name val="Helvetica"/>
      <family val="2"/>
    </font>
    <font>
      <sz val="10"/>
      <name val="Palatino"/>
      <family val="1"/>
    </font>
    <font>
      <sz val="9"/>
      <name val="Century Schoolbook"/>
      <family val="1"/>
    </font>
    <font>
      <sz val="12"/>
      <name val="Times New Roman"/>
      <family val="1"/>
    </font>
    <font>
      <sz val="12"/>
      <name val="Arial"/>
      <family val="2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sz val="1"/>
      <color indexed="8"/>
      <name val="Courier"/>
      <family val="3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name val="Arial"/>
      <family val="2"/>
    </font>
    <font>
      <b/>
      <u/>
      <sz val="8"/>
      <color indexed="8"/>
      <name val="Tahoma"/>
      <family val="2"/>
    </font>
    <font>
      <b/>
      <sz val="12"/>
      <name val="Tms Rmn"/>
    </font>
    <font>
      <b/>
      <sz val="18"/>
      <name val="Arial"/>
      <family val="2"/>
    </font>
    <font>
      <i/>
      <sz val="14"/>
      <name val="Palatino"/>
      <family val="1"/>
    </font>
    <font>
      <b/>
      <sz val="11"/>
      <name val="Arial"/>
      <family val="2"/>
    </font>
    <font>
      <b/>
      <sz val="8"/>
      <name val="MS Sans Serif"/>
      <family val="2"/>
    </font>
    <font>
      <sz val="8"/>
      <color indexed="39"/>
      <name val="Arial"/>
      <family val="2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7"/>
      <name val="Arial"/>
      <family val="2"/>
    </font>
    <font>
      <u/>
      <sz val="8"/>
      <color indexed="12"/>
      <name val="MS Sans Serif"/>
      <family val="2"/>
    </font>
    <font>
      <b/>
      <sz val="36"/>
      <name val="Times New Roman"/>
      <family val="1"/>
    </font>
    <font>
      <sz val="7"/>
      <name val="Small Fonts"/>
      <family val="2"/>
    </font>
    <font>
      <b/>
      <sz val="8"/>
      <color indexed="23"/>
      <name val="Verdana"/>
      <family val="2"/>
    </font>
    <font>
      <sz val="8"/>
      <color indexed="8"/>
      <name val="Helv"/>
      <family val="2"/>
    </font>
    <font>
      <sz val="8"/>
      <name val="Helv"/>
    </font>
    <font>
      <i/>
      <strike/>
      <sz val="12"/>
      <color indexed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color indexed="39"/>
      <name val="Arial"/>
      <family val="2"/>
    </font>
    <font>
      <sz val="10"/>
      <name val="TimesNewRomanPS"/>
    </font>
    <font>
      <sz val="10"/>
      <color indexed="16"/>
      <name val="Helvetica-Black"/>
    </font>
    <font>
      <sz val="12"/>
      <color indexed="8"/>
      <name val="Times New Roman"/>
      <family val="1"/>
    </font>
    <font>
      <sz val="9"/>
      <color indexed="12"/>
      <name val="Arial"/>
      <family val="2"/>
    </font>
    <font>
      <strike/>
      <sz val="12"/>
      <color indexed="46"/>
      <name val="Arial"/>
      <family val="2"/>
    </font>
    <font>
      <b/>
      <sz val="8"/>
      <color indexed="18"/>
      <name val="Times New Roman"/>
      <family val="1"/>
    </font>
    <font>
      <sz val="16"/>
      <color indexed="9"/>
      <name val="Tahoma"/>
      <family val="2"/>
    </font>
    <font>
      <sz val="12"/>
      <color indexed="17"/>
      <name val="Arial"/>
      <family val="2"/>
    </font>
    <font>
      <sz val="8"/>
      <color indexed="10"/>
      <name val="Arial"/>
      <family val="2"/>
    </font>
    <font>
      <sz val="8"/>
      <name val="Wingdings"/>
      <charset val="2"/>
    </font>
    <font>
      <sz val="9.5"/>
      <color indexed="23"/>
      <name val="Helvetica-Black"/>
    </font>
    <font>
      <b/>
      <i/>
      <sz val="8"/>
      <name val="Arial"/>
      <family val="2"/>
    </font>
    <font>
      <sz val="10"/>
      <name val="Futura UBS Bk"/>
      <family val="2"/>
    </font>
    <font>
      <sz val="8"/>
      <name val="MS Sans Serif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trike/>
      <sz val="10"/>
      <name val="Arial"/>
      <family val="2"/>
    </font>
    <font>
      <b/>
      <sz val="13"/>
      <color indexed="8"/>
      <name val="Verdana"/>
      <family val="2"/>
    </font>
    <font>
      <b/>
      <sz val="8"/>
      <color indexed="9"/>
      <name val="Verdana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  <charset val="2"/>
    </font>
    <font>
      <b/>
      <i/>
      <sz val="12"/>
      <color indexed="8"/>
      <name val="Arial"/>
      <family val="2"/>
    </font>
    <font>
      <b/>
      <i/>
      <sz val="11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8"/>
      <color indexed="16"/>
      <name val="Times New Roman"/>
      <family val="1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7"/>
      <name val="Palatino"/>
      <family val="1"/>
    </font>
    <font>
      <b/>
      <sz val="8"/>
      <color indexed="63"/>
      <name val="Verdana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sz val="7"/>
      <name val="Arial"/>
      <family val="2"/>
    </font>
    <font>
      <b/>
      <sz val="16"/>
      <color indexed="9"/>
      <name val="Tahoma"/>
      <family val="2"/>
    </font>
    <font>
      <b/>
      <sz val="8"/>
      <name val="Tms Rmn"/>
    </font>
    <font>
      <b/>
      <sz val="10"/>
      <name val="Times New Roman"/>
      <family val="1"/>
    </font>
    <font>
      <b/>
      <sz val="7"/>
      <color indexed="12"/>
      <name val="Arial"/>
      <family val="2"/>
    </font>
    <font>
      <sz val="10"/>
      <color indexed="38"/>
      <name val="Arial"/>
      <family val="2"/>
    </font>
    <font>
      <sz val="8"/>
      <color indexed="18"/>
      <name val="Times New Roman"/>
      <family val="1"/>
    </font>
    <font>
      <i/>
      <strike/>
      <sz val="12"/>
      <color indexed="48"/>
      <name val="Arial"/>
      <family val="2"/>
    </font>
    <font>
      <sz val="12"/>
      <name val="CF儷簡宋"/>
      <family val="3"/>
      <charset val="136"/>
    </font>
    <font>
      <sz val="11"/>
      <name val="明朝"/>
      <family val="1"/>
      <charset val="128"/>
    </font>
    <font>
      <u/>
      <sz val="10"/>
      <color indexed="14"/>
      <name val="新細明體"/>
      <family val="1"/>
      <charset val="136"/>
    </font>
    <font>
      <b/>
      <u val="singleAccounting"/>
      <sz val="8"/>
      <color indexed="8"/>
      <name val="Arial"/>
      <family val="2"/>
    </font>
    <font>
      <sz val="1"/>
      <color indexed="9"/>
      <name val="Symbol"/>
      <family val="1"/>
      <charset val="2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12"/>
      <name val="宋体"/>
      <charset val="134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name val="돋움"/>
      <family val="3"/>
      <charset val="129"/>
    </font>
    <font>
      <sz val="12"/>
      <name val="¹UAAA¼"/>
      <family val="1"/>
      <charset val="129"/>
    </font>
    <font>
      <sz val="10"/>
      <name val="굴림체"/>
      <family val="3"/>
      <charset val="129"/>
    </font>
    <font>
      <sz val="12"/>
      <name val="돋움체"/>
      <family val="3"/>
      <charset val="129"/>
    </font>
    <font>
      <sz val="10"/>
      <name val="바탕체"/>
      <family val="1"/>
      <charset val="129"/>
    </font>
    <font>
      <sz val="12"/>
      <name val="명조"/>
      <family val="3"/>
      <charset val="129"/>
    </font>
    <font>
      <sz val="11"/>
      <name val="μ¸¿o"/>
      <family val="3"/>
      <charset val="129"/>
    </font>
    <font>
      <sz val="8"/>
      <name val="¹UAAA¼"/>
      <family val="1"/>
      <charset val="129"/>
    </font>
    <font>
      <b/>
      <sz val="10"/>
      <name val="Helv"/>
      <family val="2"/>
    </font>
    <font>
      <u/>
      <sz val="11"/>
      <color indexed="36"/>
      <name val="돋움"/>
      <family val="3"/>
      <charset val="129"/>
    </font>
    <font>
      <b/>
      <sz val="11"/>
      <name val="Helv"/>
      <family val="2"/>
    </font>
    <font>
      <sz val="12"/>
      <name val="Helv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9"/>
      <color indexed="48"/>
      <name val="Arial"/>
      <family val="2"/>
    </font>
    <font>
      <sz val="14"/>
      <name val="Helv"/>
      <family val="2"/>
    </font>
    <font>
      <b/>
      <sz val="1"/>
      <color indexed="8"/>
      <name val="Courier"/>
      <family val="3"/>
    </font>
    <font>
      <b/>
      <sz val="9"/>
      <name val="굴림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돋움체"/>
      <family val="3"/>
      <charset val="129"/>
    </font>
    <font>
      <sz val="10"/>
      <color indexed="24"/>
      <name val="MS Sans Serif"/>
      <family val="2"/>
    </font>
    <font>
      <sz val="1"/>
      <color indexed="0"/>
      <name val="Courier"/>
      <family val="3"/>
    </font>
    <font>
      <sz val="11"/>
      <name val="바탕체"/>
      <family val="1"/>
      <charset val="129"/>
    </font>
    <font>
      <sz val="10"/>
      <name val="¹UAAA¼"/>
      <family val="1"/>
      <charset val="129"/>
    </font>
    <font>
      <sz val="12"/>
      <color indexed="12"/>
      <name val="Arial"/>
      <family val="2"/>
    </font>
    <font>
      <sz val="11"/>
      <name val="Arial"/>
      <family val="2"/>
    </font>
    <font>
      <sz val="10"/>
      <name val="Palatino Linotyp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sz val="10"/>
      <name val="Garamond"/>
      <family val="1"/>
    </font>
    <font>
      <sz val="11"/>
      <name val="Garamond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8"/>
      <color indexed="8"/>
      <name val="Times New Roman"/>
      <family val="1"/>
    </font>
    <font>
      <sz val="10"/>
      <name val="Geneva"/>
      <family val="2"/>
    </font>
    <font>
      <sz val="10"/>
      <name val="Courier"/>
      <family val="3"/>
    </font>
    <font>
      <sz val="10"/>
      <color theme="1"/>
      <name val="Times New Roman"/>
      <family val="2"/>
    </font>
    <font>
      <sz val="8"/>
      <name val="Antique Olive"/>
      <family val="2"/>
    </font>
    <font>
      <sz val="8"/>
      <name val="Geneva"/>
      <family val="2"/>
    </font>
    <font>
      <b/>
      <sz val="9"/>
      <color indexed="8"/>
      <name val="Helv"/>
    </font>
    <font>
      <sz val="12"/>
      <name val="¹ÙÅÁÃ¼"/>
      <family val="1"/>
      <charset val="129"/>
    </font>
    <font>
      <sz val="8"/>
      <color indexed="8"/>
      <name val="Calibri"/>
      <family val="2"/>
    </font>
    <font>
      <sz val="10"/>
      <name val="Book Antiqua"/>
      <family val="1"/>
    </font>
    <font>
      <sz val="12"/>
      <name val="Tms Rmn"/>
    </font>
    <font>
      <sz val="8"/>
      <color indexed="8"/>
      <name val="Helv"/>
    </font>
    <font>
      <sz val="12"/>
      <name val="±¼¸²Ã¼"/>
      <family val="3"/>
      <charset val="129"/>
    </font>
    <font>
      <sz val="7"/>
      <name val="Book Antiqua"/>
      <family val="1"/>
    </font>
    <font>
      <b/>
      <i/>
      <sz val="8"/>
      <name val="Book Antiqua"/>
      <family val="1"/>
    </font>
    <font>
      <b/>
      <sz val="9.75"/>
      <name val="Abadi MT Condensed"/>
      <family val="2"/>
    </font>
    <font>
      <sz val="7"/>
      <name val="Geneva"/>
      <family val="2"/>
    </font>
    <font>
      <sz val="10"/>
      <name val="Helv"/>
    </font>
    <font>
      <sz val="10"/>
      <name val="Abadi MT Condensed"/>
      <family val="2"/>
    </font>
    <font>
      <sz val="10"/>
      <color indexed="12"/>
      <name val="Abadi MT Condensed"/>
      <family val="2"/>
    </font>
    <font>
      <sz val="8"/>
      <name val="Helv"/>
      <family val="2"/>
    </font>
    <font>
      <sz val="10"/>
      <color indexed="16"/>
      <name val="Arial"/>
      <family val="2"/>
    </font>
    <font>
      <sz val="12"/>
      <name val="???"/>
      <family val="1"/>
      <charset val="129"/>
    </font>
    <font>
      <sz val="12"/>
      <name val="?¡§u￠R?¡§I"/>
      <family val="3"/>
    </font>
    <font>
      <u/>
      <sz val="10"/>
      <color indexed="36"/>
      <name val="Arial"/>
      <family val="2"/>
    </font>
    <font>
      <sz val="10"/>
      <name val="Helv"/>
      <charset val="204"/>
    </font>
    <font>
      <sz val="10"/>
      <color indexed="16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sz val="10"/>
      <color indexed="32"/>
      <name val="Arial"/>
      <family val="2"/>
    </font>
    <font>
      <b/>
      <sz val="10"/>
      <color indexed="16"/>
      <name val="Times New Roman"/>
      <family val="1"/>
    </font>
    <font>
      <sz val="12"/>
      <color theme="1"/>
      <name val="Times New Roman"/>
      <family val="2"/>
    </font>
    <font>
      <sz val="10"/>
      <color indexed="23"/>
      <name val="Comic Sans MS"/>
      <family val="2"/>
    </font>
    <font>
      <sz val="11"/>
      <color theme="1"/>
      <name val="宋体"/>
      <charset val="134"/>
    </font>
    <font>
      <sz val="10"/>
      <color indexed="9"/>
      <name val="Comic Sans MS"/>
      <family val="2"/>
    </font>
    <font>
      <sz val="11"/>
      <color theme="0"/>
      <name val="宋体"/>
      <charset val="134"/>
    </font>
    <font>
      <sz val="10"/>
      <name val="Lucida Sans Unicode"/>
      <family val="2"/>
    </font>
    <font>
      <sz val="10"/>
      <color indexed="59"/>
      <name val="Comic Sans MS"/>
      <family val="2"/>
    </font>
    <font>
      <sz val="8"/>
      <color theme="1"/>
      <name val="Arial"/>
      <family val="2"/>
    </font>
    <font>
      <sz val="10"/>
      <name val="Trebuchet MS"/>
      <family val="2"/>
    </font>
    <font>
      <u/>
      <sz val="10"/>
      <color theme="10"/>
      <name val="Trebuchet MS"/>
      <family val="2"/>
    </font>
    <font>
      <b/>
      <sz val="14"/>
      <color theme="1"/>
      <name val="Trebuchet MS"/>
      <family val="2"/>
    </font>
    <font>
      <sz val="10"/>
      <name val="GillSans"/>
      <family val="2"/>
    </font>
    <font>
      <sz val="8"/>
      <color indexed="49"/>
      <name val="Times New Roman"/>
      <family val="1"/>
    </font>
    <font>
      <b/>
      <u/>
      <sz val="10"/>
      <name val="Courier"/>
      <family val="3"/>
    </font>
    <font>
      <sz val="11"/>
      <color rgb="FF0000FF"/>
      <name val="Arial"/>
      <family val="2"/>
    </font>
    <font>
      <b/>
      <sz val="9"/>
      <color rgb="FFFFFFFF"/>
      <name val="Arial"/>
      <family val="2"/>
    </font>
    <font>
      <sz val="9"/>
      <color rgb="FF0000FF"/>
      <name val="Arial"/>
      <family val="2"/>
    </font>
    <font>
      <b/>
      <sz val="9"/>
      <color rgb="FF212121"/>
      <name val="Arial"/>
      <family val="2"/>
    </font>
    <font>
      <b/>
      <i/>
      <u/>
      <sz val="9"/>
      <color rgb="FF212121"/>
      <name val="Arial"/>
      <family val="2"/>
    </font>
    <font>
      <sz val="9"/>
      <color rgb="FF000000"/>
      <name val="Arial"/>
      <family val="2"/>
    </font>
    <font>
      <i/>
      <sz val="9"/>
      <color rgb="FF0000FF"/>
      <name val="Arial"/>
      <family val="2"/>
    </font>
    <font>
      <b/>
      <sz val="9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rgb="FFFFFFFF"/>
      <name val="Arial"/>
      <family val="2"/>
    </font>
    <font>
      <b/>
      <sz val="8"/>
      <color rgb="FF212121"/>
      <name val="Arial"/>
      <family val="2"/>
    </font>
    <font>
      <b/>
      <i/>
      <u/>
      <sz val="8"/>
      <color rgb="FF212121"/>
      <name val="Arial"/>
      <family val="2"/>
    </font>
    <font>
      <sz val="8"/>
      <color rgb="FF000000"/>
      <name val="Arial"/>
      <family val="2"/>
    </font>
    <font>
      <i/>
      <sz val="8"/>
      <color rgb="FF0000FF"/>
      <name val="Arial"/>
      <family val="2"/>
    </font>
    <font>
      <b/>
      <sz val="8"/>
      <color rgb="FF000000"/>
      <name val="Arial"/>
      <family val="2"/>
    </font>
    <font>
      <b/>
      <i/>
      <sz val="8"/>
      <color rgb="FF0000FF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vertAlign val="superscript"/>
      <sz val="9"/>
      <color rgb="FFFFFFFF"/>
      <name val="Arial"/>
      <family val="2"/>
    </font>
    <font>
      <i/>
      <sz val="9"/>
      <color rgb="FFB8B8B8"/>
      <name val="Arial"/>
      <family val="2"/>
    </font>
    <font>
      <sz val="11"/>
      <color rgb="FFFF0000"/>
      <name val="Arial"/>
      <family val="2"/>
    </font>
    <font>
      <b/>
      <i/>
      <sz val="9"/>
      <color rgb="FF000000"/>
      <name val="Arial"/>
      <family val="2"/>
    </font>
    <font>
      <b/>
      <sz val="9"/>
      <name val="Arial Narrow"/>
      <family val="2"/>
    </font>
    <font>
      <i/>
      <sz val="9"/>
      <name val="Arial"/>
      <family val="2"/>
    </font>
    <font>
      <i/>
      <sz val="10"/>
      <color indexed="25"/>
      <name val="Arial Narrow"/>
      <family val="2"/>
    </font>
    <font>
      <b/>
      <sz val="10"/>
      <color indexed="25"/>
      <name val="Arial Narrow"/>
      <family val="2"/>
    </font>
    <font>
      <b/>
      <sz val="9"/>
      <color theme="0"/>
      <name val="Arial"/>
      <family val="2"/>
    </font>
    <font>
      <b/>
      <sz val="9"/>
      <color rgb="FF0000FF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3949AB"/>
        <bgColor indexed="64"/>
      </patternFill>
    </fill>
    <fill>
      <patternFill patternType="solid">
        <fgColor rgb="FFD4F4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15"/>
      </patternFill>
    </fill>
    <fill>
      <patternFill patternType="solid">
        <fgColor indexed="18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gray0625"/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gray125">
        <fgColor indexed="8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8"/>
        <bgColor indexed="17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theme="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1"/>
      </patternFill>
    </fill>
    <fill>
      <patternFill patternType="solid">
        <fgColor indexed="17"/>
      </patternFill>
    </fill>
    <fill>
      <patternFill patternType="solid">
        <fgColor theme="3" tint="0.79998168889431442"/>
        <bgColor indexed="64"/>
      </patternFill>
    </fill>
  </fills>
  <borders count="139">
    <border>
      <left/>
      <right/>
      <top/>
      <bottom/>
      <diagonal/>
    </border>
    <border>
      <left style="dotted">
        <color rgb="FFB8B8B8"/>
      </left>
      <right/>
      <top style="dotted">
        <color rgb="FFB8B8B8"/>
      </top>
      <bottom/>
      <diagonal/>
    </border>
    <border>
      <left/>
      <right/>
      <top style="dotted">
        <color rgb="FFB8B8B8"/>
      </top>
      <bottom/>
      <diagonal/>
    </border>
    <border>
      <left style="medium">
        <color rgb="FFFFFFFF"/>
      </left>
      <right style="dotted">
        <color rgb="FFB8B8B8"/>
      </right>
      <top style="dotted">
        <color rgb="FFB8B8B8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dotted">
        <color rgb="FFB8B8B8"/>
      </right>
      <top style="dotted">
        <color rgb="FFB8B8B8"/>
      </top>
      <bottom/>
      <diagonal/>
    </border>
    <border>
      <left style="dotted">
        <color rgb="FFB8B8B8"/>
      </left>
      <right/>
      <top/>
      <bottom/>
      <diagonal/>
    </border>
    <border>
      <left/>
      <right style="dotted">
        <color rgb="FFB8B8B8"/>
      </right>
      <top/>
      <bottom/>
      <diagonal/>
    </border>
    <border>
      <left style="dotted">
        <color rgb="FFB8B8B8"/>
      </left>
      <right/>
      <top style="dotted">
        <color rgb="FFB8B8B8"/>
      </top>
      <bottom style="dotted">
        <color rgb="FFB8B8B8"/>
      </bottom>
      <diagonal/>
    </border>
    <border>
      <left/>
      <right/>
      <top style="dotted">
        <color rgb="FFB8B8B8"/>
      </top>
      <bottom style="dotted">
        <color rgb="FFB8B8B8"/>
      </bottom>
      <diagonal/>
    </border>
    <border>
      <left/>
      <right style="dotted">
        <color rgb="FFB8B8B8"/>
      </right>
      <top style="dotted">
        <color rgb="FFB8B8B8"/>
      </top>
      <bottom style="dotted">
        <color rgb="FFB8B8B8"/>
      </bottom>
      <diagonal/>
    </border>
    <border>
      <left style="dotted">
        <color rgb="FFB8B8B8"/>
      </left>
      <right/>
      <top/>
      <bottom style="dotted">
        <color rgb="FFB8B8B8"/>
      </bottom>
      <diagonal/>
    </border>
    <border>
      <left/>
      <right/>
      <top/>
      <bottom style="dotted">
        <color rgb="FFB8B8B8"/>
      </bottom>
      <diagonal/>
    </border>
    <border>
      <left/>
      <right style="dotted">
        <color rgb="FFB8B8B8"/>
      </right>
      <top/>
      <bottom style="dotted">
        <color rgb="FFB8B8B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rgb="FFDDDDDD"/>
      </right>
      <top style="medium">
        <color rgb="FFDDDDDD"/>
      </top>
      <bottom style="medium">
        <color rgb="FFDDDDDD"/>
      </bottom>
      <diagonal/>
    </border>
    <border>
      <left style="dotted">
        <color rgb="FFDDDDDD"/>
      </left>
      <right style="dotted">
        <color rgb="FFDDDDDD"/>
      </right>
      <top style="dotted">
        <color rgb="FFDDDDDD"/>
      </top>
      <bottom style="dotted">
        <color rgb="FFDDDDDD"/>
      </bottom>
      <diagonal/>
    </border>
    <border>
      <left style="dotted">
        <color rgb="FFDDDDDD"/>
      </left>
      <right/>
      <top style="dotted">
        <color rgb="FFDDDDDD"/>
      </top>
      <bottom style="dotted">
        <color rgb="FFDDDDDD"/>
      </bottom>
      <diagonal/>
    </border>
    <border>
      <left/>
      <right/>
      <top style="dotted">
        <color rgb="FFDDDDDD"/>
      </top>
      <bottom style="dotted">
        <color rgb="FFDDDDDD"/>
      </bottom>
      <diagonal/>
    </border>
    <border>
      <left/>
      <right style="dotted">
        <color rgb="FFDDDDDD"/>
      </right>
      <top style="dotted">
        <color rgb="FFDDDDDD"/>
      </top>
      <bottom style="dotted">
        <color rgb="FFDDDDDD"/>
      </bottom>
      <diagonal/>
    </border>
    <border>
      <left/>
      <right/>
      <top style="dotted">
        <color rgb="FFB8B8B8"/>
      </top>
      <bottom style="medium">
        <color rgb="FFB8B8B8"/>
      </bottom>
      <diagonal/>
    </border>
    <border>
      <left/>
      <right/>
      <top style="medium">
        <color rgb="FFB8B8B8"/>
      </top>
      <bottom style="medium">
        <color rgb="FFB8B8B8"/>
      </bottom>
      <diagonal/>
    </border>
    <border>
      <left/>
      <right/>
      <top style="medium">
        <color rgb="FFB8B8B8"/>
      </top>
      <bottom style="dotted">
        <color rgb="FFB8B8B8"/>
      </bottom>
      <diagonal/>
    </border>
    <border>
      <left/>
      <right/>
      <top style="medium">
        <color rgb="FFB8B8B8"/>
      </top>
      <bottom/>
      <diagonal/>
    </border>
    <border>
      <left style="dotted">
        <color rgb="FFDDDDDD"/>
      </left>
      <right/>
      <top/>
      <bottom/>
      <diagonal/>
    </border>
    <border>
      <left/>
      <right/>
      <top/>
      <bottom style="medium">
        <color rgb="FFB8B8B8"/>
      </bottom>
      <diagonal/>
    </border>
    <border>
      <left style="dotted">
        <color rgb="FFDDDDDD"/>
      </left>
      <right/>
      <top style="dotted">
        <color rgb="FFDDDDDD"/>
      </top>
      <bottom style="medium">
        <color rgb="FFDDDDDD"/>
      </bottom>
      <diagonal/>
    </border>
    <border>
      <left/>
      <right/>
      <top style="dotted">
        <color rgb="FFDDDDDD"/>
      </top>
      <bottom style="medium">
        <color rgb="FFDDDDDD"/>
      </bottom>
      <diagonal/>
    </border>
    <border>
      <left/>
      <right style="dotted">
        <color rgb="FFDDDDDD"/>
      </right>
      <top style="dotted">
        <color rgb="FFDDDDDD"/>
      </top>
      <bottom style="medium">
        <color rgb="FFDDDDDD"/>
      </bottom>
      <diagonal/>
    </border>
    <border>
      <left style="dotted">
        <color rgb="FFDDDDDD"/>
      </left>
      <right/>
      <top style="medium">
        <color rgb="FFDDDDDD"/>
      </top>
      <bottom style="medium">
        <color rgb="FFDDDDDD"/>
      </bottom>
      <diagonal/>
    </border>
    <border>
      <left style="dotted">
        <color rgb="FFDDDDDD"/>
      </left>
      <right/>
      <top style="medium">
        <color rgb="FFDDDDDD"/>
      </top>
      <bottom style="dotted">
        <color rgb="FFDDDDDD"/>
      </bottom>
      <diagonal/>
    </border>
    <border>
      <left/>
      <right/>
      <top style="medium">
        <color rgb="FFDDDDDD"/>
      </top>
      <bottom style="dotted">
        <color rgb="FFDDDDDD"/>
      </bottom>
      <diagonal/>
    </border>
    <border>
      <left/>
      <right style="dotted">
        <color rgb="FFDDDDDD"/>
      </right>
      <top style="medium">
        <color rgb="FFDDDDDD"/>
      </top>
      <bottom style="dotted">
        <color rgb="FFDDDDDD"/>
      </bottom>
      <diagonal/>
    </border>
    <border>
      <left style="dotted">
        <color rgb="FFDDDDDD"/>
      </left>
      <right/>
      <top style="dotted">
        <color rgb="FFDDDDDD"/>
      </top>
      <bottom/>
      <diagonal/>
    </border>
    <border>
      <left/>
      <right/>
      <top style="dotted">
        <color rgb="FFDDDDDD"/>
      </top>
      <bottom/>
      <diagonal/>
    </border>
    <border>
      <left/>
      <right style="dotted">
        <color rgb="FFDDDDDD"/>
      </right>
      <top style="dotted">
        <color rgb="FFDDDDDD"/>
      </top>
      <bottom/>
      <diagonal/>
    </border>
    <border>
      <left/>
      <right style="dotted">
        <color rgb="FFDDDDDD"/>
      </right>
      <top/>
      <bottom/>
      <diagonal/>
    </border>
    <border>
      <left style="dotted">
        <color rgb="FFDDDDDD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/>
      <right style="dotted">
        <color rgb="FFDDDDDD"/>
      </right>
      <top/>
      <bottom style="dotted">
        <color rgb="FFDDDDDD"/>
      </bottom>
      <diagonal/>
    </border>
    <border>
      <left style="medium">
        <color rgb="FFB8B8B8"/>
      </left>
      <right style="medium">
        <color rgb="FFB8B8B8"/>
      </right>
      <top style="medium">
        <color rgb="FFB8B8B8"/>
      </top>
      <bottom style="medium">
        <color rgb="FFB8B8B8"/>
      </bottom>
      <diagonal/>
    </border>
    <border>
      <left style="medium">
        <color rgb="FFB8B8B8"/>
      </left>
      <right/>
      <top style="medium">
        <color rgb="FFB8B8B8"/>
      </top>
      <bottom style="dotted">
        <color rgb="FFB8B8B8"/>
      </bottom>
      <diagonal/>
    </border>
    <border>
      <left/>
      <right style="medium">
        <color rgb="FFB8B8B8"/>
      </right>
      <top style="medium">
        <color rgb="FFB8B8B8"/>
      </top>
      <bottom style="dotted">
        <color rgb="FFB8B8B8"/>
      </bottom>
      <diagonal/>
    </border>
    <border>
      <left style="medium">
        <color rgb="FFB8B8B8"/>
      </left>
      <right/>
      <top style="dotted">
        <color rgb="FFB8B8B8"/>
      </top>
      <bottom style="dotted">
        <color rgb="FFB8B8B8"/>
      </bottom>
      <diagonal/>
    </border>
    <border>
      <left/>
      <right style="medium">
        <color rgb="FFB8B8B8"/>
      </right>
      <top style="dotted">
        <color rgb="FFB8B8B8"/>
      </top>
      <bottom style="dotted">
        <color rgb="FFB8B8B8"/>
      </bottom>
      <diagonal/>
    </border>
    <border>
      <left style="medium">
        <color rgb="FFB8B8B8"/>
      </left>
      <right/>
      <top style="dotted">
        <color rgb="FFB8B8B8"/>
      </top>
      <bottom style="medium">
        <color rgb="FFB8B8B8"/>
      </bottom>
      <diagonal/>
    </border>
    <border>
      <left/>
      <right style="medium">
        <color rgb="FFB8B8B8"/>
      </right>
      <top style="dotted">
        <color rgb="FFB8B8B8"/>
      </top>
      <bottom style="medium">
        <color rgb="FFB8B8B8"/>
      </bottom>
      <diagonal/>
    </border>
    <border>
      <left style="medium">
        <color rgb="FFB8B8B8"/>
      </left>
      <right/>
      <top style="medium">
        <color rgb="FFB8B8B8"/>
      </top>
      <bottom/>
      <diagonal/>
    </border>
    <border>
      <left/>
      <right style="medium">
        <color rgb="FFB8B8B8"/>
      </right>
      <top style="medium">
        <color rgb="FFB8B8B8"/>
      </top>
      <bottom/>
      <diagonal/>
    </border>
    <border>
      <left style="medium">
        <color rgb="FFB8B8B8"/>
      </left>
      <right/>
      <top/>
      <bottom style="dotted">
        <color rgb="FFB8B8B8"/>
      </bottom>
      <diagonal/>
    </border>
    <border>
      <left/>
      <right style="medium">
        <color rgb="FFB8B8B8"/>
      </right>
      <top/>
      <bottom style="dotted">
        <color rgb="FFB8B8B8"/>
      </bottom>
      <diagonal/>
    </border>
    <border>
      <left style="medium">
        <color rgb="FFB8B8B8"/>
      </left>
      <right/>
      <top/>
      <bottom/>
      <diagonal/>
    </border>
    <border>
      <left/>
      <right style="medium">
        <color rgb="FFB8B8B8"/>
      </right>
      <top/>
      <bottom/>
      <diagonal/>
    </border>
    <border>
      <left style="medium">
        <color rgb="FFB8B8B8"/>
      </left>
      <right/>
      <top/>
      <bottom style="medium">
        <color rgb="FFB8B8B8"/>
      </bottom>
      <diagonal/>
    </border>
    <border>
      <left/>
      <right style="medium">
        <color rgb="FFB8B8B8"/>
      </right>
      <top/>
      <bottom style="medium">
        <color rgb="FFB8B8B8"/>
      </bottom>
      <diagonal/>
    </border>
    <border>
      <left style="medium">
        <color rgb="FFDDDDDD"/>
      </left>
      <right/>
      <top style="medium">
        <color rgb="FFDDDDDD"/>
      </top>
      <bottom style="dotted">
        <color rgb="FFDDDDDD"/>
      </bottom>
      <diagonal/>
    </border>
    <border>
      <left/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/>
      <top style="dotted">
        <color rgb="FFDDDDDD"/>
      </top>
      <bottom style="dotted">
        <color rgb="FFDDDDDD"/>
      </bottom>
      <diagonal/>
    </border>
    <border>
      <left/>
      <right style="medium">
        <color rgb="FFDDDDDD"/>
      </right>
      <top style="dotted">
        <color rgb="FFDDDDDD"/>
      </top>
      <bottom style="dotted">
        <color rgb="FFDDDDDD"/>
      </bottom>
      <diagonal/>
    </border>
    <border>
      <left style="medium">
        <color rgb="FFDDDDDD"/>
      </left>
      <right/>
      <top style="dotted">
        <color rgb="FFDDDDDD"/>
      </top>
      <bottom style="medium">
        <color rgb="FFDDDDDD"/>
      </bottom>
      <diagonal/>
    </border>
    <border>
      <left/>
      <right style="medium">
        <color rgb="FFDDDDDD"/>
      </right>
      <top style="dotted">
        <color rgb="FFDDDDDD"/>
      </top>
      <bottom style="medium">
        <color rgb="FFDDDDDD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rgb="FFDDDDDD"/>
      </left>
      <right style="dotted">
        <color rgb="FFDDDDDD"/>
      </right>
      <top style="dotted">
        <color rgb="FFB8B8B8"/>
      </top>
      <bottom style="dotted">
        <color rgb="FFB8B8B8"/>
      </bottom>
      <diagonal/>
    </border>
    <border>
      <left style="dotted">
        <color rgb="FFDDDDDD"/>
      </left>
      <right style="medium">
        <color rgb="FFB8B8B8"/>
      </right>
      <top style="dotted">
        <color rgb="FFB8B8B8"/>
      </top>
      <bottom style="dotted">
        <color rgb="FFB8B8B8"/>
      </bottom>
      <diagonal/>
    </border>
    <border>
      <left/>
      <right style="dotted">
        <color rgb="FFDDDDDD"/>
      </right>
      <top style="dotted">
        <color rgb="FFB8B8B8"/>
      </top>
      <bottom style="dotted">
        <color rgb="FFB8B8B8"/>
      </bottom>
      <diagonal/>
    </border>
    <border>
      <left style="medium">
        <color rgb="FFB8B8B8"/>
      </left>
      <right/>
      <top style="medium">
        <color rgb="FFB8B8B8"/>
      </top>
      <bottom style="medium">
        <color rgb="FFB8B8B8"/>
      </bottom>
      <diagonal/>
    </border>
    <border>
      <left/>
      <right style="medium">
        <color rgb="FFB8B8B8"/>
      </right>
      <top style="medium">
        <color rgb="FFB8B8B8"/>
      </top>
      <bottom style="medium">
        <color rgb="FFB8B8B8"/>
      </bottom>
      <diagonal/>
    </border>
    <border>
      <left style="medium">
        <color rgb="FFB8B8B8"/>
      </left>
      <right/>
      <top style="dotted">
        <color rgb="FFB8B8B8"/>
      </top>
      <bottom/>
      <diagonal/>
    </border>
    <border>
      <left/>
      <right style="medium">
        <color rgb="FFB8B8B8"/>
      </right>
      <top style="dotted">
        <color rgb="FFB8B8B8"/>
      </top>
      <bottom/>
      <diagonal/>
    </border>
    <border>
      <left style="thin">
        <color rgb="FFB8B8B8"/>
      </left>
      <right style="thin">
        <color rgb="FFB8B8B8"/>
      </right>
      <top style="thin">
        <color rgb="FFB8B8B8"/>
      </top>
      <bottom style="thin">
        <color rgb="FFB8B8B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39"/>
      </right>
      <top/>
      <bottom/>
      <diagonal/>
    </border>
    <border>
      <left/>
      <right/>
      <top style="thin">
        <color indexed="39"/>
      </top>
      <bottom/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39"/>
      </top>
      <bottom/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rgb="FFB8B8B8"/>
      </left>
      <right/>
      <top style="thin">
        <color rgb="FFB8B8B8"/>
      </top>
      <bottom style="thin">
        <color rgb="FFB8B8B8"/>
      </bottom>
      <diagonal/>
    </border>
    <border>
      <left/>
      <right/>
      <top style="thin">
        <color rgb="FFB8B8B8"/>
      </top>
      <bottom style="thin">
        <color rgb="FFB8B8B8"/>
      </bottom>
      <diagonal/>
    </border>
    <border>
      <left/>
      <right style="thin">
        <color rgb="FFB8B8B8"/>
      </right>
      <top style="thin">
        <color rgb="FFB8B8B8"/>
      </top>
      <bottom style="thin">
        <color rgb="FFB8B8B8"/>
      </bottom>
      <diagonal/>
    </border>
  </borders>
  <cellStyleXfs count="4282">
    <xf numFmtId="0" fontId="0" fillId="0" borderId="0"/>
    <xf numFmtId="9" fontId="1" fillId="0" borderId="0" applyFont="0" applyFill="0" applyBorder="0" applyAlignment="0" applyProtection="0"/>
    <xf numFmtId="0" fontId="26" fillId="0" borderId="0">
      <alignment horizontal="left" vertical="top" wrapText="1"/>
    </xf>
    <xf numFmtId="43" fontId="1" fillId="0" borderId="0" applyFont="0" applyFill="0" applyBorder="0" applyAlignment="0" applyProtection="0"/>
    <xf numFmtId="334" fontId="41" fillId="0" borderId="0"/>
    <xf numFmtId="334" fontId="184" fillId="0" borderId="0">
      <protection locked="0"/>
    </xf>
    <xf numFmtId="334" fontId="184" fillId="0" borderId="0">
      <protection locked="0"/>
    </xf>
    <xf numFmtId="334" fontId="184" fillId="0" borderId="0">
      <protection locked="0"/>
    </xf>
    <xf numFmtId="334" fontId="184" fillId="0" borderId="0">
      <protection locked="0"/>
    </xf>
    <xf numFmtId="334" fontId="43" fillId="0" borderId="0" applyNumberFormat="0" applyFill="0" applyBorder="0" applyAlignment="0" applyProtection="0"/>
    <xf numFmtId="174" fontId="29" fillId="0" borderId="0"/>
    <xf numFmtId="175" fontId="13" fillId="0" borderId="0" applyFont="0" applyFill="0" applyBorder="0" applyAlignment="0" applyProtection="0"/>
    <xf numFmtId="176" fontId="13" fillId="0" borderId="0"/>
    <xf numFmtId="177" fontId="13" fillId="0" borderId="0" applyFont="0" applyFill="0" applyBorder="0" applyAlignment="0" applyProtection="0"/>
    <xf numFmtId="9" fontId="44" fillId="19" borderId="71">
      <alignment horizontal="right" vertical="center"/>
    </xf>
    <xf numFmtId="178" fontId="45" fillId="0" borderId="0" applyBorder="0"/>
    <xf numFmtId="334" fontId="46" fillId="0" borderId="0" applyNumberFormat="0" applyFont="0" applyFill="0" applyBorder="0" applyAlignment="0" applyProtection="0"/>
    <xf numFmtId="171" fontId="47" fillId="0" borderId="0" applyFont="0" applyFill="0" applyBorder="0" applyAlignment="0"/>
    <xf numFmtId="334" fontId="184" fillId="0" borderId="0"/>
    <xf numFmtId="44" fontId="100" fillId="0" borderId="0" applyFont="0" applyFill="0" applyBorder="0" applyAlignment="0" applyProtection="0"/>
    <xf numFmtId="334" fontId="184" fillId="0" borderId="0"/>
    <xf numFmtId="334" fontId="184" fillId="0" borderId="0"/>
    <xf numFmtId="18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334" fontId="13" fillId="0" borderId="0" applyNumberFormat="0" applyFill="0" applyBorder="0" applyAlignment="0" applyProtection="0"/>
    <xf numFmtId="334" fontId="184" fillId="0" borderId="0"/>
    <xf numFmtId="182" fontId="29" fillId="0" borderId="0" applyFont="0" applyFill="0" applyBorder="0" applyProtection="0">
      <alignment horizontal="right"/>
    </xf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334" fontId="13" fillId="0" borderId="0"/>
    <xf numFmtId="321" fontId="104" fillId="0" borderId="0">
      <protection locked="0"/>
    </xf>
    <xf numFmtId="321" fontId="104" fillId="0" borderId="0">
      <protection locked="0"/>
    </xf>
    <xf numFmtId="334" fontId="13" fillId="0" borderId="0"/>
    <xf numFmtId="334" fontId="184" fillId="0" borderId="0" applyFont="0" applyFill="0" applyBorder="0" applyAlignment="0" applyProtection="0"/>
    <xf numFmtId="185" fontId="29" fillId="0" borderId="0" applyFont="0" applyFill="0" applyBorder="0" applyProtection="0">
      <alignment horizontal="right"/>
    </xf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83" fillId="0" borderId="0">
      <alignment vertical="center"/>
    </xf>
    <xf numFmtId="16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6" fontId="48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48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48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4" fontId="49" fillId="0" borderId="0" applyFill="0" applyBorder="0" applyProtection="0"/>
    <xf numFmtId="334" fontId="13" fillId="0" borderId="0" applyFont="0" applyFill="0" applyBorder="0" applyAlignment="0" applyProtection="0"/>
    <xf numFmtId="190" fontId="29" fillId="0" borderId="0" applyFont="0" applyFill="0" applyBorder="0" applyProtection="0">
      <alignment horizontal="right"/>
    </xf>
    <xf numFmtId="190" fontId="29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34" fontId="13" fillId="0" borderId="0"/>
    <xf numFmtId="191" fontId="50" fillId="0" borderId="72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51" fillId="0" borderId="0" applyNumberFormat="0" applyFill="0" applyBorder="0" applyAlignment="0" applyProtection="0"/>
    <xf numFmtId="334" fontId="51" fillId="0" borderId="0" applyNumberFormat="0" applyFill="0" applyBorder="0" applyAlignment="0" applyProtection="0"/>
    <xf numFmtId="334" fontId="51" fillId="0" borderId="0" applyNumberFormat="0" applyFill="0" applyBorder="0" applyAlignment="0" applyProtection="0"/>
    <xf numFmtId="334" fontId="13" fillId="20" borderId="0" applyNumberFormat="0" applyFont="0" applyAlignment="0" applyProtection="0"/>
    <xf numFmtId="334" fontId="13" fillId="0" borderId="0" applyFont="0" applyFill="0" applyBorder="0" applyAlignment="0" applyProtection="0"/>
    <xf numFmtId="192" fontId="52" fillId="0" borderId="0" applyFont="0" applyFill="0" applyBorder="0" applyProtection="0">
      <alignment horizontal="right"/>
    </xf>
    <xf numFmtId="193" fontId="52" fillId="0" borderId="0" applyFont="0" applyFill="0" applyBorder="0" applyProtection="0">
      <alignment horizontal="right"/>
    </xf>
    <xf numFmtId="193" fontId="52" fillId="0" borderId="0" applyFont="0" applyFill="0" applyBorder="0" applyProtection="0">
      <alignment horizontal="right"/>
    </xf>
    <xf numFmtId="334" fontId="13" fillId="0" borderId="0" applyFont="0" applyFill="0" applyBorder="0" applyAlignment="0" applyProtection="0"/>
    <xf numFmtId="334" fontId="53" fillId="21" borderId="0">
      <alignment horizontal="centerContinuous" vertical="center"/>
    </xf>
    <xf numFmtId="334" fontId="31" fillId="22" borderId="0">
      <alignment horizontal="centerContinuous" vertical="center"/>
    </xf>
    <xf numFmtId="321" fontId="104" fillId="0" borderId="0">
      <protection locked="0"/>
    </xf>
    <xf numFmtId="194" fontId="13" fillId="0" borderId="0" applyFont="0" applyFill="0" applyBorder="0" applyAlignment="0" applyProtection="0"/>
    <xf numFmtId="195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4" fontId="13" fillId="0" borderId="0" applyFont="0" applyFill="0" applyBorder="0" applyAlignment="0" applyProtection="0"/>
    <xf numFmtId="197" fontId="48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8" fontId="13" fillId="0" borderId="0" applyFont="0" applyFill="0" applyBorder="0" applyProtection="0">
      <alignment horizontal="right"/>
    </xf>
    <xf numFmtId="199" fontId="13" fillId="0" borderId="0" applyFont="0" applyFill="0" applyBorder="0" applyAlignment="0" applyProtection="0"/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199" fontId="13" fillId="0" borderId="0" applyFont="0" applyFill="0" applyBorder="0" applyAlignment="0" applyProtection="0"/>
    <xf numFmtId="200" fontId="48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200" fontId="13" fillId="0" borderId="0" applyFont="0" applyFill="0" applyBorder="0" applyProtection="0">
      <alignment horizontal="right"/>
    </xf>
    <xf numFmtId="334" fontId="13" fillId="0" borderId="0"/>
    <xf numFmtId="201" fontId="13" fillId="0" borderId="0" applyFont="0" applyFill="0" applyBorder="0" applyAlignment="0" applyProtection="0"/>
    <xf numFmtId="202" fontId="54" fillId="0" borderId="73" applyFont="0" applyFill="0" applyBorder="0" applyProtection="0">
      <alignment horizontal="right"/>
    </xf>
    <xf numFmtId="203" fontId="54" fillId="0" borderId="73" applyFont="0" applyFill="0" applyBorder="0" applyProtection="0">
      <alignment horizontal="right"/>
    </xf>
    <xf numFmtId="203" fontId="54" fillId="0" borderId="73" applyFont="0" applyFill="0" applyBorder="0" applyProtection="0">
      <alignment horizontal="right"/>
    </xf>
    <xf numFmtId="203" fontId="54" fillId="0" borderId="73" applyFont="0" applyFill="0" applyBorder="0" applyProtection="0">
      <alignment horizontal="right"/>
    </xf>
    <xf numFmtId="203" fontId="54" fillId="0" borderId="73" applyFont="0" applyFill="0" applyBorder="0" applyProtection="0">
      <alignment horizontal="right"/>
    </xf>
    <xf numFmtId="203" fontId="54" fillId="0" borderId="73" applyFont="0" applyFill="0" applyBorder="0" applyProtection="0">
      <alignment horizontal="right"/>
    </xf>
    <xf numFmtId="204" fontId="13" fillId="0" borderId="0" applyFont="0" applyFill="0" applyBorder="0" applyAlignment="0" applyProtection="0"/>
    <xf numFmtId="334" fontId="186" fillId="0" borderId="0"/>
    <xf numFmtId="334" fontId="186" fillId="0" borderId="0"/>
    <xf numFmtId="334" fontId="13" fillId="0" borderId="0"/>
    <xf numFmtId="334" fontId="13" fillId="0" borderId="0"/>
    <xf numFmtId="334" fontId="55" fillId="0" borderId="0" applyNumberFormat="0" applyFill="0" applyBorder="0" applyProtection="0">
      <alignment vertical="top"/>
    </xf>
    <xf numFmtId="334" fontId="55" fillId="0" borderId="0" applyNumberFormat="0" applyFill="0" applyBorder="0" applyProtection="0">
      <alignment vertical="top"/>
    </xf>
    <xf numFmtId="334" fontId="55" fillId="0" borderId="0" applyNumberFormat="0" applyFill="0" applyBorder="0" applyProtection="0">
      <alignment vertical="top"/>
    </xf>
    <xf numFmtId="334" fontId="54" fillId="0" borderId="73" applyNumberFormat="0" applyFill="0" applyAlignment="0" applyProtection="0"/>
    <xf numFmtId="334" fontId="56" fillId="0" borderId="74" applyNumberFormat="0" applyFill="0" applyProtection="0">
      <alignment horizontal="center"/>
    </xf>
    <xf numFmtId="334" fontId="57" fillId="0" borderId="74" applyNumberFormat="0" applyFill="0" applyProtection="0">
      <alignment horizontal="center"/>
    </xf>
    <xf numFmtId="334" fontId="58" fillId="0" borderId="75" applyNumberFormat="0" applyFill="0" applyProtection="0">
      <alignment horizontal="center"/>
    </xf>
    <xf numFmtId="334" fontId="58" fillId="0" borderId="75" applyNumberFormat="0" applyFill="0" applyProtection="0">
      <alignment horizontal="center"/>
    </xf>
    <xf numFmtId="334" fontId="59" fillId="0" borderId="74" applyNumberFormat="0" applyFill="0" applyProtection="0">
      <alignment horizontal="center"/>
    </xf>
    <xf numFmtId="334" fontId="60" fillId="0" borderId="0" applyNumberFormat="0" applyFill="0" applyBorder="0" applyProtection="0">
      <alignment horizontal="left"/>
    </xf>
    <xf numFmtId="334" fontId="58" fillId="0" borderId="0" applyNumberFormat="0" applyFill="0" applyBorder="0" applyProtection="0">
      <alignment horizontal="left"/>
    </xf>
    <xf numFmtId="334" fontId="58" fillId="0" borderId="0" applyNumberFormat="0" applyFill="0" applyBorder="0" applyProtection="0">
      <alignment horizontal="left"/>
    </xf>
    <xf numFmtId="334" fontId="61" fillId="0" borderId="0" applyNumberFormat="0" applyFill="0" applyBorder="0" applyProtection="0">
      <alignment horizontal="centerContinuous"/>
    </xf>
    <xf numFmtId="334" fontId="62" fillId="0" borderId="0" applyNumberFormat="0" applyFill="0" applyBorder="0" applyProtection="0">
      <alignment horizontal="centerContinuous"/>
    </xf>
    <xf numFmtId="334" fontId="63" fillId="0" borderId="0" applyNumberFormat="0" applyFill="0" applyBorder="0" applyProtection="0">
      <alignment horizontal="centerContinuous"/>
    </xf>
    <xf numFmtId="334" fontId="63" fillId="0" borderId="0" applyNumberFormat="0" applyFill="0" applyBorder="0" applyProtection="0">
      <alignment horizontal="centerContinuous"/>
    </xf>
    <xf numFmtId="334" fontId="62" fillId="0" borderId="0" applyNumberFormat="0" applyFill="0" applyBorder="0" applyProtection="0">
      <alignment horizontal="centerContinuous"/>
    </xf>
    <xf numFmtId="334" fontId="13" fillId="0" borderId="0"/>
    <xf numFmtId="334" fontId="13" fillId="0" borderId="0" applyFont="0" applyFill="0" applyBorder="0" applyAlignment="0" applyProtection="0"/>
    <xf numFmtId="334" fontId="13" fillId="0" borderId="0"/>
    <xf numFmtId="334" fontId="13" fillId="0" borderId="0" applyFont="0" applyFill="0" applyBorder="0" applyAlignment="0" applyProtection="0"/>
    <xf numFmtId="334" fontId="13" fillId="0" borderId="0"/>
    <xf numFmtId="334" fontId="13" fillId="0" borderId="0"/>
    <xf numFmtId="334" fontId="188" fillId="0" borderId="0"/>
    <xf numFmtId="321" fontId="104" fillId="0" borderId="0">
      <protection locked="0"/>
    </xf>
    <xf numFmtId="334" fontId="188" fillId="0" borderId="0"/>
    <xf numFmtId="334" fontId="13" fillId="0" borderId="0"/>
    <xf numFmtId="334" fontId="13" fillId="0" borderId="0"/>
    <xf numFmtId="334" fontId="189" fillId="0" borderId="0" applyFont="0" applyFill="0" applyBorder="0" applyAlignment="0" applyProtection="0"/>
    <xf numFmtId="321" fontId="104" fillId="0" borderId="0">
      <protection locked="0"/>
    </xf>
    <xf numFmtId="334" fontId="13" fillId="0" borderId="0"/>
    <xf numFmtId="334" fontId="13" fillId="0" borderId="0"/>
    <xf numFmtId="321" fontId="104" fillId="0" borderId="0">
      <protection locked="0"/>
    </xf>
    <xf numFmtId="321" fontId="104" fillId="0" borderId="0">
      <protection locked="0"/>
    </xf>
    <xf numFmtId="334" fontId="13" fillId="0" borderId="0"/>
    <xf numFmtId="321" fontId="104" fillId="0" borderId="0">
      <protection locked="0"/>
    </xf>
    <xf numFmtId="334" fontId="184" fillId="0" borderId="0"/>
    <xf numFmtId="334" fontId="13" fillId="0" borderId="0"/>
    <xf numFmtId="334" fontId="48" fillId="0" borderId="0"/>
    <xf numFmtId="334" fontId="13" fillId="0" borderId="0"/>
    <xf numFmtId="334" fontId="13" fillId="0" borderId="0"/>
    <xf numFmtId="334" fontId="13" fillId="0" borderId="0"/>
    <xf numFmtId="321" fontId="104" fillId="0" borderId="0">
      <protection locked="0"/>
    </xf>
    <xf numFmtId="334" fontId="13" fillId="0" borderId="0"/>
    <xf numFmtId="334" fontId="13" fillId="0" borderId="0"/>
    <xf numFmtId="321" fontId="104" fillId="0" borderId="0">
      <protection locked="0"/>
    </xf>
    <xf numFmtId="334" fontId="186" fillId="0" borderId="0"/>
    <xf numFmtId="334" fontId="29" fillId="0" borderId="0">
      <alignment vertical="top"/>
    </xf>
    <xf numFmtId="205" fontId="13" fillId="0" borderId="0" applyFont="0" applyFill="0" applyBorder="0" applyAlignment="0" applyProtection="0"/>
    <xf numFmtId="206" fontId="64" fillId="0" borderId="0" applyFont="0" applyFill="0" applyBorder="0" applyAlignment="0" applyProtection="0"/>
    <xf numFmtId="207" fontId="64" fillId="0" borderId="0" applyFont="0" applyFill="0" applyBorder="0" applyAlignment="0" applyProtection="0"/>
    <xf numFmtId="208" fontId="64" fillId="0" borderId="0" applyFont="0" applyFill="0" applyBorder="0" applyAlignment="0" applyProtection="0"/>
    <xf numFmtId="209" fontId="64" fillId="0" borderId="0" applyFont="0" applyFill="0" applyBorder="0" applyAlignment="0" applyProtection="0"/>
    <xf numFmtId="210" fontId="64" fillId="0" borderId="0" applyFont="0" applyFill="0" applyBorder="0" applyAlignment="0" applyProtection="0"/>
    <xf numFmtId="211" fontId="65" fillId="0" borderId="0" applyFont="0" applyFill="0" applyBorder="0" applyAlignment="0" applyProtection="0"/>
    <xf numFmtId="205" fontId="13" fillId="0" borderId="0" applyFont="0" applyFill="0" applyBorder="0" applyAlignment="0" applyProtection="0"/>
    <xf numFmtId="334" fontId="66" fillId="0" borderId="0"/>
    <xf numFmtId="1" fontId="48" fillId="0" borderId="0"/>
    <xf numFmtId="1" fontId="67" fillId="0" borderId="0"/>
    <xf numFmtId="1" fontId="67" fillId="0" borderId="0"/>
    <xf numFmtId="1" fontId="67" fillId="0" borderId="0"/>
    <xf numFmtId="1" fontId="67" fillId="0" borderId="0"/>
    <xf numFmtId="1" fontId="190" fillId="0" borderId="76">
      <alignment horizontal="center" vertical="center"/>
    </xf>
    <xf numFmtId="1" fontId="48" fillId="0" borderId="0"/>
    <xf numFmtId="1" fontId="48" fillId="0" borderId="0"/>
    <xf numFmtId="1" fontId="48" fillId="0" borderId="0"/>
    <xf numFmtId="1" fontId="48" fillId="0" borderId="0"/>
    <xf numFmtId="334" fontId="186" fillId="0" borderId="0" applyNumberFormat="0" applyFont="0" applyFill="0" applyBorder="0" applyAlignment="0" applyProtection="0">
      <protection locked="0"/>
    </xf>
    <xf numFmtId="212" fontId="13" fillId="0" borderId="0" applyFont="0" applyFill="0" applyBorder="0" applyAlignment="0" applyProtection="0"/>
    <xf numFmtId="167" fontId="45" fillId="0" borderId="0"/>
    <xf numFmtId="213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334" fontId="191" fillId="0" borderId="0" applyFont="0" applyFill="0" applyBorder="0" applyAlignment="0" applyProtection="0"/>
    <xf numFmtId="334" fontId="184" fillId="0" borderId="77">
      <alignment horizontal="center"/>
    </xf>
    <xf numFmtId="334" fontId="217" fillId="23" borderId="0" applyNumberFormat="0" applyBorder="0" applyAlignment="0" applyProtection="0"/>
    <xf numFmtId="334" fontId="217" fillId="24" borderId="0" applyNumberFormat="0" applyBorder="0" applyAlignment="0" applyProtection="0"/>
    <xf numFmtId="334" fontId="217" fillId="25" borderId="0" applyNumberFormat="0" applyBorder="0" applyAlignment="0" applyProtection="0"/>
    <xf numFmtId="334" fontId="217" fillId="26" borderId="0" applyNumberFormat="0" applyBorder="0" applyAlignment="0" applyProtection="0"/>
    <xf numFmtId="334" fontId="217" fillId="27" borderId="0" applyNumberFormat="0" applyBorder="0" applyAlignment="0" applyProtection="0"/>
    <xf numFmtId="334" fontId="217" fillId="28" borderId="0" applyNumberFormat="0" applyBorder="0" applyAlignment="0" applyProtection="0"/>
    <xf numFmtId="214" fontId="45" fillId="0" borderId="0"/>
    <xf numFmtId="40" fontId="45" fillId="0" borderId="0"/>
    <xf numFmtId="334" fontId="184" fillId="0" borderId="0"/>
    <xf numFmtId="334" fontId="217" fillId="29" borderId="0" applyNumberFormat="0" applyBorder="0" applyAlignment="0" applyProtection="0"/>
    <xf numFmtId="334" fontId="217" fillId="30" borderId="0" applyNumberFormat="0" applyBorder="0" applyAlignment="0" applyProtection="0"/>
    <xf numFmtId="334" fontId="217" fillId="31" borderId="0" applyNumberFormat="0" applyBorder="0" applyAlignment="0" applyProtection="0"/>
    <xf numFmtId="334" fontId="217" fillId="26" borderId="0" applyNumberFormat="0" applyBorder="0" applyAlignment="0" applyProtection="0"/>
    <xf numFmtId="334" fontId="217" fillId="29" borderId="0" applyNumberFormat="0" applyBorder="0" applyAlignment="0" applyProtection="0"/>
    <xf numFmtId="334" fontId="217" fillId="32" borderId="0" applyNumberFormat="0" applyBorder="0" applyAlignment="0" applyProtection="0"/>
    <xf numFmtId="334" fontId="218" fillId="33" borderId="0" applyNumberFormat="0" applyBorder="0" applyAlignment="0" applyProtection="0"/>
    <xf numFmtId="334" fontId="218" fillId="30" borderId="0" applyNumberFormat="0" applyBorder="0" applyAlignment="0" applyProtection="0"/>
    <xf numFmtId="334" fontId="218" fillId="31" borderId="0" applyNumberFormat="0" applyBorder="0" applyAlignment="0" applyProtection="0"/>
    <xf numFmtId="334" fontId="218" fillId="34" borderId="0" applyNumberFormat="0" applyBorder="0" applyAlignment="0" applyProtection="0"/>
    <xf numFmtId="334" fontId="218" fillId="35" borderId="0" applyNumberFormat="0" applyBorder="0" applyAlignment="0" applyProtection="0"/>
    <xf numFmtId="334" fontId="218" fillId="36" borderId="0" applyNumberFormat="0" applyBorder="0" applyAlignment="0" applyProtection="0"/>
    <xf numFmtId="334" fontId="184" fillId="0" borderId="0" applyFont="0" applyFill="0" applyBorder="0" applyAlignment="0" applyProtection="0"/>
    <xf numFmtId="334" fontId="218" fillId="37" borderId="0" applyNumberFormat="0" applyBorder="0" applyAlignment="0" applyProtection="0"/>
    <xf numFmtId="334" fontId="218" fillId="38" borderId="0" applyNumberFormat="0" applyBorder="0" applyAlignment="0" applyProtection="0"/>
    <xf numFmtId="334" fontId="218" fillId="39" borderId="0" applyNumberFormat="0" applyBorder="0" applyAlignment="0" applyProtection="0"/>
    <xf numFmtId="334" fontId="218" fillId="34" borderId="0" applyNumberFormat="0" applyBorder="0" applyAlignment="0" applyProtection="0"/>
    <xf numFmtId="334" fontId="218" fillId="35" borderId="0" applyNumberFormat="0" applyBorder="0" applyAlignment="0" applyProtection="0"/>
    <xf numFmtId="334" fontId="218" fillId="40" borderId="0" applyNumberFormat="0" applyBorder="0" applyAlignment="0" applyProtection="0"/>
    <xf numFmtId="334" fontId="68" fillId="0" borderId="0" applyNumberFormat="0" applyAlignment="0"/>
    <xf numFmtId="334" fontId="192" fillId="0" borderId="0" applyFont="0" applyFill="0" applyBorder="0" applyAlignment="0" applyProtection="0"/>
    <xf numFmtId="318" fontId="187" fillId="0" borderId="0" applyFont="0" applyFill="0" applyBorder="0" applyAlignment="0" applyProtection="0"/>
    <xf numFmtId="334" fontId="192" fillId="0" borderId="0" applyFont="0" applyFill="0" applyBorder="0" applyAlignment="0" applyProtection="0"/>
    <xf numFmtId="319" fontId="187" fillId="0" borderId="0" applyFont="0" applyFill="0" applyBorder="0" applyAlignment="0" applyProtection="0"/>
    <xf numFmtId="334" fontId="69" fillId="0" borderId="0"/>
    <xf numFmtId="334" fontId="48" fillId="0" borderId="0"/>
    <xf numFmtId="37" fontId="70" fillId="41" borderId="78" applyBorder="0" applyProtection="0">
      <alignment vertical="center"/>
    </xf>
    <xf numFmtId="215" fontId="13" fillId="0" borderId="0" applyFont="0" applyFill="0" applyBorder="0" applyAlignment="0" applyProtection="0"/>
    <xf numFmtId="334" fontId="45" fillId="0" borderId="0">
      <alignment horizontal="center" wrapText="1"/>
      <protection locked="0"/>
    </xf>
    <xf numFmtId="37" fontId="214" fillId="42" borderId="0" applyNumberFormat="0">
      <protection locked="0"/>
    </xf>
    <xf numFmtId="334" fontId="187" fillId="0" borderId="0" applyFont="0" applyFill="0" applyBorder="0" applyAlignment="0" applyProtection="0"/>
    <xf numFmtId="180" fontId="187" fillId="0" borderId="0" applyFont="0" applyFill="0" applyBorder="0" applyAlignment="0" applyProtection="0"/>
    <xf numFmtId="320" fontId="187" fillId="0" borderId="0" applyFont="0" applyFill="0" applyBorder="0" applyAlignment="0" applyProtection="0"/>
    <xf numFmtId="320" fontId="187" fillId="0" borderId="0" applyFont="0" applyFill="0" applyBorder="0" applyAlignment="0" applyProtection="0"/>
    <xf numFmtId="334" fontId="186" fillId="0" borderId="0" applyFont="0" applyFill="0" applyBorder="0" applyAlignment="0" applyProtection="0"/>
    <xf numFmtId="334" fontId="219" fillId="24" borderId="0" applyNumberFormat="0" applyBorder="0" applyAlignment="0" applyProtection="0"/>
    <xf numFmtId="334" fontId="64" fillId="0" borderId="0" applyNumberFormat="0" applyFill="0" applyBorder="0" applyAlignment="0" applyProtection="0"/>
    <xf numFmtId="216" fontId="71" fillId="0" borderId="0"/>
    <xf numFmtId="169" fontId="45" fillId="0" borderId="0"/>
    <xf numFmtId="170" fontId="45" fillId="0" borderId="79"/>
    <xf numFmtId="217" fontId="71" fillId="0" borderId="0"/>
    <xf numFmtId="334" fontId="71" fillId="0" borderId="0"/>
    <xf numFmtId="218" fontId="71" fillId="0" borderId="0"/>
    <xf numFmtId="334" fontId="45" fillId="0" borderId="0">
      <alignment horizontal="right"/>
    </xf>
    <xf numFmtId="219" fontId="71" fillId="0" borderId="0">
      <alignment horizontal="right"/>
    </xf>
    <xf numFmtId="220" fontId="71" fillId="0" borderId="0">
      <alignment horizontal="right"/>
    </xf>
    <xf numFmtId="334" fontId="71" fillId="0" borderId="0"/>
    <xf numFmtId="221" fontId="45" fillId="0" borderId="0">
      <alignment horizontal="right"/>
    </xf>
    <xf numFmtId="334" fontId="72" fillId="0" borderId="0" applyNumberFormat="0" applyFill="0" applyBorder="0" applyAlignment="0" applyProtection="0"/>
    <xf numFmtId="222" fontId="71" fillId="0" borderId="0"/>
    <xf numFmtId="223" fontId="71" fillId="0" borderId="0"/>
    <xf numFmtId="334" fontId="71" fillId="0" borderId="0"/>
    <xf numFmtId="1" fontId="73" fillId="43" borderId="80">
      <alignment horizontal="center"/>
    </xf>
    <xf numFmtId="334" fontId="71" fillId="0" borderId="0"/>
    <xf numFmtId="334" fontId="73" fillId="43" borderId="81">
      <alignment horizontal="center"/>
    </xf>
    <xf numFmtId="334" fontId="71" fillId="0" borderId="0"/>
    <xf numFmtId="334" fontId="74" fillId="44" borderId="82">
      <alignment horizontal="left"/>
    </xf>
    <xf numFmtId="334" fontId="75" fillId="45" borderId="0" applyBorder="0">
      <alignment horizontal="left" vertical="center" indent="1"/>
    </xf>
    <xf numFmtId="224" fontId="47" fillId="0" borderId="0"/>
    <xf numFmtId="37" fontId="76" fillId="0" borderId="0" applyNumberFormat="0" applyFill="0" applyBorder="0" applyAlignment="0" applyProtection="0">
      <protection locked="0"/>
    </xf>
    <xf numFmtId="334" fontId="77" fillId="0" borderId="83" applyNumberFormat="0" applyFill="0" applyAlignment="0" applyProtection="0"/>
    <xf numFmtId="334" fontId="78" fillId="0" borderId="0"/>
    <xf numFmtId="5" fontId="43" fillId="0" borderId="79" applyAlignment="0" applyProtection="0"/>
    <xf numFmtId="225" fontId="79" fillId="0" borderId="72" applyNumberFormat="0" applyFill="0" applyAlignment="0" applyProtection="0">
      <alignment horizontal="center"/>
    </xf>
    <xf numFmtId="226" fontId="79" fillId="0" borderId="83" applyFill="0" applyAlignment="0" applyProtection="0">
      <alignment horizontal="center"/>
    </xf>
    <xf numFmtId="334" fontId="47" fillId="0" borderId="0"/>
    <xf numFmtId="205" fontId="13" fillId="0" borderId="0" applyFont="0" applyFill="0" applyBorder="0" applyAlignment="0" applyProtection="0"/>
    <xf numFmtId="334" fontId="193" fillId="0" borderId="0"/>
    <xf numFmtId="334" fontId="192" fillId="0" borderId="0"/>
    <xf numFmtId="227" fontId="13" fillId="0" borderId="0" applyFill="0" applyBorder="0" applyAlignment="0"/>
    <xf numFmtId="227" fontId="13" fillId="0" borderId="0" applyFill="0" applyBorder="0" applyAlignment="0"/>
    <xf numFmtId="228" fontId="13" fillId="0" borderId="0" applyFill="0" applyBorder="0" applyAlignment="0"/>
    <xf numFmtId="229" fontId="13" fillId="0" borderId="0" applyFill="0" applyBorder="0" applyAlignment="0"/>
    <xf numFmtId="230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334" fontId="220" fillId="46" borderId="84" applyNumberFormat="0" applyAlignment="0" applyProtection="0"/>
    <xf numFmtId="37" fontId="215" fillId="0" borderId="85"/>
    <xf numFmtId="232" fontId="68" fillId="47" borderId="0" applyNumberFormat="0" applyFont="0" applyBorder="0" applyAlignment="0">
      <protection locked="0"/>
    </xf>
    <xf numFmtId="233" fontId="45" fillId="0" borderId="0" applyFill="0" applyBorder="0" applyProtection="0"/>
    <xf numFmtId="334" fontId="194" fillId="0" borderId="0"/>
    <xf numFmtId="334" fontId="80" fillId="48" borderId="85"/>
    <xf numFmtId="334" fontId="50" fillId="0" borderId="0" applyFill="0" applyBorder="0" applyProtection="0">
      <alignment horizontal="center"/>
      <protection locked="0"/>
    </xf>
    <xf numFmtId="334" fontId="96" fillId="0" borderId="0"/>
    <xf numFmtId="334" fontId="221" fillId="49" borderId="86" applyNumberFormat="0" applyAlignment="0" applyProtection="0"/>
    <xf numFmtId="334" fontId="81" fillId="0" borderId="0" applyNumberFormat="0" applyFill="0" applyBorder="0" applyAlignment="0" applyProtection="0"/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34" fontId="83" fillId="0" borderId="87">
      <alignment horizontal="left" wrapText="1"/>
    </xf>
    <xf numFmtId="38" fontId="82" fillId="0" borderId="87"/>
    <xf numFmtId="334" fontId="83" fillId="0" borderId="88">
      <alignment horizontal="center"/>
    </xf>
    <xf numFmtId="334" fontId="177" fillId="50" borderId="0"/>
    <xf numFmtId="43" fontId="41" fillId="0" borderId="0" applyFont="0" applyFill="0" applyBorder="0" applyAlignment="0" applyProtection="0"/>
    <xf numFmtId="227" fontId="13" fillId="0" borderId="0" applyFont="0" applyFill="0" applyBorder="0" applyAlignment="0" applyProtection="0"/>
    <xf numFmtId="38" fontId="84" fillId="0" borderId="0">
      <alignment horizontal="center"/>
      <protection locked="0"/>
    </xf>
    <xf numFmtId="234" fontId="85" fillId="0" borderId="0" applyFont="0" applyFill="0" applyBorder="0" applyAlignment="0" applyProtection="0">
      <alignment horizontal="right"/>
    </xf>
    <xf numFmtId="235" fontId="8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236" fontId="85" fillId="0" borderId="0" applyFont="0" applyFill="0" applyBorder="0" applyAlignment="0" applyProtection="0">
      <alignment horizontal="right"/>
    </xf>
    <xf numFmtId="43" fontId="217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3" fillId="0" borderId="0" applyFont="0" applyFill="0" applyBorder="0" applyAlignment="0" applyProtection="0"/>
    <xf numFmtId="237" fontId="13" fillId="0" borderId="0" applyFont="0" applyFill="0" applyBorder="0" applyAlignment="0" applyProtection="0"/>
    <xf numFmtId="43" fontId="22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23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2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7" fontId="45" fillId="0" borderId="0" applyFill="0" applyBorder="0" applyAlignment="0" applyProtection="0"/>
    <xf numFmtId="333" fontId="186" fillId="0" borderId="0"/>
    <xf numFmtId="38" fontId="86" fillId="0" borderId="0" applyFont="0" applyFill="0" applyBorder="0" applyAlignment="0" applyProtection="0"/>
    <xf numFmtId="169" fontId="86" fillId="0" borderId="0" applyFont="0" applyFill="0" applyBorder="0" applyAlignment="0" applyProtection="0"/>
    <xf numFmtId="39" fontId="86" fillId="0" borderId="0" applyFont="0" applyFill="0" applyBorder="0" applyAlignment="0" applyProtection="0"/>
    <xf numFmtId="334" fontId="87" fillId="0" borderId="0" applyFill="0" applyBorder="0" applyAlignment="0" applyProtection="0">
      <protection locked="0"/>
    </xf>
    <xf numFmtId="238" fontId="88" fillId="0" borderId="0" applyFill="0" applyBorder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89" fillId="0" borderId="0" applyNumberFormat="0" applyAlignment="0">
      <alignment horizontal="left"/>
    </xf>
    <xf numFmtId="334" fontId="90" fillId="0" borderId="0"/>
    <xf numFmtId="334" fontId="91" fillId="0" borderId="85"/>
    <xf numFmtId="227" fontId="13" fillId="0" borderId="0" applyFont="0" applyFill="0" applyBorder="0" applyAlignment="0" applyProtection="0"/>
    <xf numFmtId="239" fontId="68" fillId="0" borderId="0" applyFont="0" applyFill="0" applyBorder="0" applyAlignment="0"/>
    <xf numFmtId="7" fontId="13" fillId="0" borderId="0" applyFont="0" applyFill="0" applyBorder="0" applyAlignment="0"/>
    <xf numFmtId="240" fontId="85" fillId="0" borderId="0" applyFont="0" applyFill="0" applyBorder="0" applyAlignment="0" applyProtection="0">
      <alignment horizontal="right"/>
    </xf>
    <xf numFmtId="241" fontId="85" fillId="0" borderId="0" applyFont="0" applyFill="0" applyBorder="0" applyAlignment="0" applyProtection="0">
      <alignment horizontal="right"/>
    </xf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22" fillId="0" borderId="0" applyFont="0" applyFill="0" applyBorder="0" applyAlignment="0" applyProtection="0"/>
    <xf numFmtId="242" fontId="13" fillId="0" borderId="0" applyFont="0" applyFill="0" applyBorder="0" applyAlignment="0" applyProtection="0"/>
    <xf numFmtId="44" fontId="223" fillId="0" borderId="0" applyFont="0" applyFill="0" applyBorder="0" applyAlignment="0" applyProtection="0"/>
    <xf numFmtId="44" fontId="13" fillId="0" borderId="0" applyFont="0" applyFill="0" applyBorder="0" applyAlignment="0" applyProtection="0"/>
    <xf numFmtId="243" fontId="13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8" fontId="44" fillId="22" borderId="71">
      <alignment horizontal="right"/>
    </xf>
    <xf numFmtId="6" fontId="86" fillId="0" borderId="0" applyFont="0" applyFill="0" applyBorder="0" applyAlignment="0" applyProtection="0"/>
    <xf numFmtId="170" fontId="92" fillId="22" borderId="0">
      <alignment horizontal="right"/>
    </xf>
    <xf numFmtId="14" fontId="13" fillId="0" borderId="0" applyFont="0" applyFill="0" applyBorder="0" applyAlignment="0" applyProtection="0">
      <alignment horizontal="center"/>
    </xf>
    <xf numFmtId="169" fontId="47" fillId="0" borderId="0" applyFont="0" applyFill="0" applyBorder="0" applyAlignment="0" applyProtection="0"/>
    <xf numFmtId="169" fontId="13" fillId="0" borderId="0" applyNumberFormat="0" applyAlignment="0">
      <alignment horizontal="left"/>
      <protection locked="0"/>
    </xf>
    <xf numFmtId="334" fontId="93" fillId="0" borderId="0"/>
    <xf numFmtId="334" fontId="94" fillId="0" borderId="0" applyNumberFormat="0" applyAlignment="0"/>
    <xf numFmtId="334" fontId="13" fillId="0" borderId="0" applyFont="0" applyFill="0" applyBorder="0" applyAlignment="0" applyProtection="0"/>
    <xf numFmtId="15" fontId="83" fillId="0" borderId="0" applyFill="0" applyBorder="0" applyAlignment="0"/>
    <xf numFmtId="244" fontId="83" fillId="51" borderId="0" applyFont="0" applyFill="0" applyBorder="0" applyAlignment="0" applyProtection="0"/>
    <xf numFmtId="245" fontId="95" fillId="51" borderId="76" applyFont="0" applyFill="0" applyBorder="0" applyAlignment="0" applyProtection="0"/>
    <xf numFmtId="244" fontId="68" fillId="51" borderId="0" applyFont="0" applyFill="0" applyBorder="0" applyAlignment="0" applyProtection="0"/>
    <xf numFmtId="17" fontId="83" fillId="0" borderId="0" applyFill="0" applyBorder="0">
      <alignment horizontal="right"/>
    </xf>
    <xf numFmtId="246" fontId="85" fillId="0" borderId="0" applyFont="0" applyFill="0" applyBorder="0" applyAlignment="0" applyProtection="0"/>
    <xf numFmtId="14" fontId="96" fillId="0" borderId="0" applyFill="0" applyBorder="0" applyAlignment="0"/>
    <xf numFmtId="247" fontId="13" fillId="0" borderId="0" applyFont="0" applyFill="0" applyBorder="0" applyAlignment="0" applyProtection="0">
      <alignment horizontal="center"/>
    </xf>
    <xf numFmtId="14" fontId="29" fillId="22" borderId="0" applyFont="0" applyFill="0" applyBorder="0" applyAlignment="0" applyProtection="0"/>
    <xf numFmtId="17" fontId="13" fillId="0" borderId="0" applyFont="0" applyFill="0" applyBorder="0" applyAlignment="0" applyProtection="0">
      <alignment horizontal="center"/>
    </xf>
    <xf numFmtId="166" fontId="76" fillId="0" borderId="0" applyFont="0" applyFill="0" applyBorder="0" applyAlignment="0" applyProtection="0">
      <alignment horizontal="center"/>
    </xf>
    <xf numFmtId="248" fontId="76" fillId="0" borderId="79" applyFont="0" applyFill="0" applyBorder="0" applyAlignment="0" applyProtection="0">
      <alignment horizontal="center"/>
    </xf>
    <xf numFmtId="180" fontId="68" fillId="0" borderId="79" applyFont="0" applyFill="0" applyBorder="0" applyAlignment="0" applyProtection="0">
      <alignment horizontal="center"/>
    </xf>
    <xf numFmtId="14" fontId="97" fillId="0" borderId="0" applyFont="0" applyFill="0" applyBorder="0"/>
    <xf numFmtId="15" fontId="98" fillId="0" borderId="0" applyFont="0" applyFill="0" applyBorder="0" applyAlignment="0" applyProtection="0">
      <alignment horizontal="center"/>
    </xf>
    <xf numFmtId="233" fontId="13" fillId="0" borderId="0" applyFont="0" applyFill="0" applyBorder="0" applyAlignment="0" applyProtection="0">
      <alignment horizontal="center"/>
    </xf>
    <xf numFmtId="233" fontId="99" fillId="0" borderId="0" applyFont="0" applyFill="0" applyBorder="0" applyAlignment="0" applyProtection="0">
      <alignment horizontal="center"/>
    </xf>
    <xf numFmtId="334" fontId="29" fillId="0" borderId="0"/>
    <xf numFmtId="38" fontId="48" fillId="0" borderId="89">
      <alignment vertical="center"/>
    </xf>
    <xf numFmtId="249" fontId="13" fillId="0" borderId="0" applyFont="0" applyFill="0" applyBorder="0" applyAlignment="0" applyProtection="0"/>
    <xf numFmtId="250" fontId="13" fillId="0" borderId="0" applyFont="0" applyFill="0" applyBorder="0" applyAlignment="0" applyProtection="0"/>
    <xf numFmtId="8" fontId="45" fillId="0" borderId="0" applyFill="0" applyBorder="0" applyProtection="0"/>
    <xf numFmtId="7" fontId="68" fillId="0" borderId="0"/>
    <xf numFmtId="4" fontId="100" fillId="0" borderId="0" applyFont="0" applyFill="0" applyBorder="0" applyAlignment="0" applyProtection="0"/>
    <xf numFmtId="213" fontId="65" fillId="0" borderId="0" applyFont="0" applyFill="0" applyBorder="0" applyAlignment="0" applyProtection="0"/>
    <xf numFmtId="6" fontId="45" fillId="0" borderId="0" applyFont="0" applyFill="0" applyBorder="0" applyAlignment="0" applyProtection="0"/>
    <xf numFmtId="251" fontId="85" fillId="0" borderId="90" applyNumberFormat="0" applyFont="0" applyFill="0" applyAlignment="0" applyProtection="0"/>
    <xf numFmtId="334" fontId="101" fillId="0" borderId="91"/>
    <xf numFmtId="38" fontId="68" fillId="22" borderId="0" applyNumberFormat="0" applyFont="0" applyBorder="0" applyAlignment="0" applyProtection="0"/>
    <xf numFmtId="227" fontId="13" fillId="0" borderId="0" applyFill="0" applyBorder="0" applyAlignment="0"/>
    <xf numFmtId="227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2" fillId="0" borderId="0" applyNumberFormat="0" applyAlignment="0">
      <alignment horizontal="left"/>
    </xf>
    <xf numFmtId="334" fontId="103" fillId="0" borderId="0"/>
    <xf numFmtId="334" fontId="47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225" fillId="0" borderId="0" applyNumberFormat="0" applyFill="0" applyBorder="0" applyAlignment="0" applyProtection="0"/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04" fillId="0" borderId="0">
      <protection locked="0"/>
    </xf>
    <xf numFmtId="40" fontId="13" fillId="0" borderId="0" applyNumberFormat="0">
      <alignment horizontal="right"/>
    </xf>
    <xf numFmtId="38" fontId="68" fillId="0" borderId="0" applyFont="0" applyFill="0" applyBorder="0" applyAlignment="0" applyProtection="0">
      <alignment horizontal="center"/>
    </xf>
    <xf numFmtId="252" fontId="13" fillId="51" borderId="0" applyFont="0" applyFill="0" applyBorder="0" applyAlignment="0"/>
    <xf numFmtId="2" fontId="13" fillId="0" borderId="0" applyFont="0" applyFill="0" applyBorder="0" applyAlignment="0" applyProtection="0"/>
    <xf numFmtId="253" fontId="13" fillId="0" borderId="0" applyFont="0" applyFill="0" applyBorder="0" applyAlignment="0"/>
    <xf numFmtId="254" fontId="68" fillId="0" borderId="0">
      <alignment horizontal="left"/>
    </xf>
    <xf numFmtId="255" fontId="13" fillId="52" borderId="0">
      <alignment horizontal="center"/>
      <protection locked="0"/>
    </xf>
    <xf numFmtId="256" fontId="79" fillId="0" borderId="0">
      <alignment horizontal="right"/>
    </xf>
    <xf numFmtId="2" fontId="13" fillId="51" borderId="78" applyFill="0" applyBorder="0" applyProtection="0">
      <alignment horizontal="center"/>
    </xf>
    <xf numFmtId="334" fontId="226" fillId="25" borderId="0" applyNumberFormat="0" applyBorder="0" applyAlignment="0" applyProtection="0"/>
    <xf numFmtId="38" fontId="68" fillId="22" borderId="0" applyNumberFormat="0" applyBorder="0" applyAlignment="0" applyProtection="0"/>
    <xf numFmtId="181" fontId="68" fillId="0" borderId="0" applyFill="0" applyBorder="0" applyAlignment="0" applyProtection="0">
      <alignment horizontal="right"/>
    </xf>
    <xf numFmtId="181" fontId="68" fillId="0" borderId="0" applyFill="0" applyBorder="0" applyAlignment="0" applyProtection="0"/>
    <xf numFmtId="334" fontId="85" fillId="0" borderId="0" applyFont="0" applyFill="0" applyBorder="0" applyAlignment="0" applyProtection="0">
      <alignment horizontal="right"/>
    </xf>
    <xf numFmtId="37" fontId="105" fillId="21" borderId="92" applyBorder="0">
      <alignment horizontal="left" vertical="center" indent="1"/>
    </xf>
    <xf numFmtId="37" fontId="106" fillId="22" borderId="93" applyBorder="0">
      <alignment horizontal="left" vertical="center" indent="1"/>
    </xf>
    <xf numFmtId="334" fontId="13" fillId="0" borderId="0"/>
    <xf numFmtId="334" fontId="107" fillId="0" borderId="94" applyNumberFormat="0" applyAlignment="0" applyProtection="0">
      <alignment horizontal="left" vertical="center"/>
    </xf>
    <xf numFmtId="334" fontId="107" fillId="0" borderId="94" applyNumberFormat="0" applyAlignment="0" applyProtection="0">
      <alignment horizontal="left" vertical="center"/>
    </xf>
    <xf numFmtId="334" fontId="107" fillId="0" borderId="94" applyNumberFormat="0" applyAlignment="0" applyProtection="0">
      <alignment horizontal="left" vertical="center"/>
    </xf>
    <xf numFmtId="334" fontId="107" fillId="0" borderId="94" applyNumberFormat="0" applyAlignment="0" applyProtection="0">
      <alignment horizontal="left" vertical="center"/>
    </xf>
    <xf numFmtId="334" fontId="107" fillId="0" borderId="94" applyNumberFormat="0" applyAlignment="0" applyProtection="0">
      <alignment horizontal="left" vertical="center"/>
    </xf>
    <xf numFmtId="334" fontId="107" fillId="0" borderId="94" applyNumberFormat="0" applyAlignment="0" applyProtection="0">
      <alignment horizontal="left" vertical="center"/>
    </xf>
    <xf numFmtId="334" fontId="107" fillId="0" borderId="94" applyNumberFormat="0" applyAlignment="0" applyProtection="0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6" fillId="0" borderId="72" applyNumberFormat="0" applyFill="0">
      <alignment horizontal="centerContinuous" vertical="top"/>
    </xf>
    <xf numFmtId="334" fontId="108" fillId="41" borderId="96" applyNumberFormat="0" applyBorder="0">
      <alignment horizontal="left" vertical="center" indent="1"/>
    </xf>
    <xf numFmtId="334" fontId="109" fillId="0" borderId="0">
      <alignment horizontal="centerContinuous" vertical="center"/>
    </xf>
    <xf numFmtId="334" fontId="110" fillId="0" borderId="0" applyNumberFormat="0" applyFont="0" applyFill="0" applyBorder="0" applyProtection="0"/>
    <xf numFmtId="334" fontId="107" fillId="0" borderId="0" applyNumberFormat="0" applyFont="0" applyFill="0" applyBorder="0" applyProtection="0"/>
    <xf numFmtId="334" fontId="111" fillId="0" borderId="0" applyProtection="0">
      <alignment horizontal="left"/>
    </xf>
    <xf numFmtId="334" fontId="227" fillId="0" borderId="0" applyNumberFormat="0" applyFill="0" applyBorder="0" applyAlignment="0" applyProtection="0"/>
    <xf numFmtId="169" fontId="68" fillId="0" borderId="83">
      <alignment horizontal="right" vertical="center"/>
    </xf>
    <xf numFmtId="334" fontId="50" fillId="0" borderId="0" applyFill="0" applyAlignment="0" applyProtection="0">
      <protection locked="0"/>
    </xf>
    <xf numFmtId="334" fontId="112" fillId="0" borderId="83" applyFill="0" applyAlignment="0" applyProtection="0">
      <protection locked="0"/>
    </xf>
    <xf numFmtId="334" fontId="104" fillId="0" borderId="0">
      <protection locked="0"/>
    </xf>
    <xf numFmtId="334" fontId="104" fillId="0" borderId="0">
      <protection locked="0"/>
    </xf>
    <xf numFmtId="334" fontId="113" fillId="0" borderId="72">
      <alignment horizontal="center"/>
    </xf>
    <xf numFmtId="334" fontId="113" fillId="0" borderId="0">
      <alignment horizontal="center"/>
    </xf>
    <xf numFmtId="171" fontId="45" fillId="53" borderId="0" applyFont="0" applyFill="0" applyBorder="0" applyAlignment="0" applyProtection="0">
      <alignment horizontal="left"/>
    </xf>
    <xf numFmtId="233" fontId="45" fillId="0" borderId="0" applyFill="0" applyBorder="0" applyAlignment="0" applyProtection="0"/>
    <xf numFmtId="38" fontId="95" fillId="0" borderId="0" applyNumberFormat="0" applyFill="0" applyBorder="0" applyAlignment="0">
      <protection locked="0"/>
    </xf>
    <xf numFmtId="10" fontId="68" fillId="51" borderId="85" applyNumberFormat="0" applyBorder="0" applyAlignment="0" applyProtection="0"/>
    <xf numFmtId="8" fontId="68" fillId="51" borderId="0" applyFont="0" applyBorder="0" applyAlignment="0" applyProtection="0">
      <protection locked="0"/>
    </xf>
    <xf numFmtId="245" fontId="68" fillId="51" borderId="0" applyFont="0" applyBorder="0" applyAlignment="0" applyProtection="0">
      <protection locked="0"/>
    </xf>
    <xf numFmtId="252" fontId="68" fillId="51" borderId="0" applyFont="0" applyBorder="0" applyAlignment="0">
      <protection locked="0"/>
    </xf>
    <xf numFmtId="233" fontId="68" fillId="51" borderId="0">
      <protection locked="0"/>
    </xf>
    <xf numFmtId="257" fontId="68" fillId="51" borderId="0" applyFont="0" applyBorder="0" applyAlignment="0">
      <protection locked="0"/>
    </xf>
    <xf numFmtId="10" fontId="68" fillId="51" borderId="0">
      <protection locked="0"/>
    </xf>
    <xf numFmtId="233" fontId="114" fillId="51" borderId="0" applyNumberFormat="0" applyBorder="0" applyAlignment="0">
      <protection locked="0"/>
    </xf>
    <xf numFmtId="164" fontId="115" fillId="54" borderId="0"/>
    <xf numFmtId="334" fontId="116" fillId="0" borderId="0" applyNumberFormat="0" applyFill="0" applyBorder="0" applyAlignment="0">
      <protection locked="0"/>
    </xf>
    <xf numFmtId="233" fontId="68" fillId="51" borderId="0" applyNumberFormat="0" applyFont="0" applyBorder="0" applyAlignment="0" applyProtection="0">
      <alignment horizontal="center"/>
      <protection locked="0"/>
    </xf>
    <xf numFmtId="334" fontId="117" fillId="0" borderId="0" applyNumberFormat="0" applyFill="0" applyBorder="0" applyAlignment="0">
      <protection locked="0"/>
    </xf>
    <xf numFmtId="258" fontId="13" fillId="0" borderId="0" applyFill="0" applyBorder="0" applyAlignment="0">
      <protection locked="0"/>
    </xf>
    <xf numFmtId="259" fontId="47" fillId="0" borderId="0"/>
    <xf numFmtId="334" fontId="178" fillId="0" borderId="0"/>
    <xf numFmtId="334" fontId="13" fillId="0" borderId="0" applyFont="0" applyFill="0" applyBorder="0" applyAlignment="0" applyProtection="0"/>
    <xf numFmtId="170" fontId="101" fillId="22" borderId="0" applyFont="0">
      <alignment horizontal="center"/>
    </xf>
    <xf numFmtId="260" fontId="13" fillId="0" borderId="0" applyFont="0" applyFill="0" applyBorder="0" applyAlignment="0" applyProtection="0"/>
    <xf numFmtId="261" fontId="13" fillId="0" borderId="0" applyFont="0" applyFill="0" applyBorder="0" applyAlignment="0" applyProtection="0"/>
    <xf numFmtId="334" fontId="118" fillId="0" borderId="0" applyNumberFormat="0" applyFill="0" applyBorder="0" applyAlignment="0" applyProtection="0">
      <alignment vertical="top"/>
      <protection locked="0"/>
    </xf>
    <xf numFmtId="1" fontId="68" fillId="0" borderId="83" applyNumberFormat="0" applyFont="0" applyFill="0" applyAlignment="0" applyProtection="0">
      <alignment horizontal="center"/>
    </xf>
    <xf numFmtId="2" fontId="13" fillId="0" borderId="0" applyNumberFormat="0" applyBorder="0">
      <alignment horizontal="left"/>
    </xf>
    <xf numFmtId="334" fontId="107" fillId="55" borderId="97"/>
    <xf numFmtId="334" fontId="101" fillId="0" borderId="97"/>
    <xf numFmtId="334" fontId="107" fillId="55" borderId="97"/>
    <xf numFmtId="1" fontId="68" fillId="0" borderId="79" applyNumberFormat="0" applyFont="0" applyFill="0" applyProtection="0">
      <alignment horizontal="center"/>
    </xf>
    <xf numFmtId="227" fontId="13" fillId="0" borderId="0" applyFill="0" applyBorder="0" applyAlignment="0"/>
    <xf numFmtId="227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334" fontId="228" fillId="0" borderId="98" applyNumberFormat="0" applyFill="0" applyAlignment="0" applyProtection="0"/>
    <xf numFmtId="334" fontId="13" fillId="22" borderId="0"/>
    <xf numFmtId="334" fontId="47" fillId="0" borderId="0" applyNumberFormat="0" applyFill="0" applyBorder="0" applyAlignment="0" applyProtection="0"/>
    <xf numFmtId="334" fontId="47" fillId="0" borderId="0" applyNumberFormat="0" applyFill="0" applyBorder="0" applyAlignment="0" applyProtection="0"/>
    <xf numFmtId="334" fontId="119" fillId="0" borderId="0" applyNumberFormat="0" applyFill="0" applyBorder="0" applyAlignment="0" applyProtection="0"/>
    <xf numFmtId="233" fontId="68" fillId="0" borderId="0" applyFill="0" applyBorder="0" applyAlignment="0" applyProtection="0"/>
    <xf numFmtId="26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60" fontId="13" fillId="0" borderId="0" applyFont="0" applyFill="0" applyBorder="0" applyAlignment="0" applyProtection="0"/>
    <xf numFmtId="261" fontId="13" fillId="0" borderId="0" applyFont="0" applyFill="0" applyBorder="0" applyAlignment="0" applyProtection="0"/>
    <xf numFmtId="263" fontId="13" fillId="0" borderId="83" applyFont="0" applyFill="0" applyBorder="0" applyAlignment="0" applyProtection="0">
      <protection locked="0"/>
    </xf>
    <xf numFmtId="213" fontId="13" fillId="0" borderId="0" applyFont="0" applyFill="0" applyBorder="0" applyAlignment="0" applyProtection="0"/>
    <xf numFmtId="213" fontId="13" fillId="0" borderId="0" applyFont="0" applyFill="0" applyBorder="0" applyAlignment="0" applyProtection="0"/>
    <xf numFmtId="264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66" fontId="13" fillId="0" borderId="0" applyFont="0" applyFill="0" applyBorder="0" applyAlignment="0" applyProtection="0"/>
    <xf numFmtId="334" fontId="196" fillId="0" borderId="72"/>
    <xf numFmtId="201" fontId="41" fillId="0" borderId="0" applyFont="0" applyFill="0" applyBorder="0" applyAlignment="0" applyProtection="0"/>
    <xf numFmtId="202" fontId="41" fillId="0" borderId="0" applyFont="0" applyFill="0" applyBorder="0" applyAlignment="0" applyProtection="0"/>
    <xf numFmtId="267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17" fontId="97" fillId="0" borderId="0" applyFont="0" applyFill="0" applyBorder="0">
      <alignment horizontal="right"/>
    </xf>
    <xf numFmtId="17" fontId="98" fillId="0" borderId="0" applyFont="0" applyFill="0" applyBorder="0" applyAlignment="0" applyProtection="0">
      <alignment horizontal="center"/>
    </xf>
    <xf numFmtId="269" fontId="47" fillId="0" borderId="83" applyFont="0" applyFill="0" applyBorder="0" applyProtection="0"/>
    <xf numFmtId="270" fontId="47" fillId="0" borderId="83" applyFont="0" applyFill="0" applyBorder="0" applyAlignment="0" applyProtection="0"/>
    <xf numFmtId="271" fontId="13" fillId="0" borderId="0" applyFont="0" applyFill="0" applyBorder="0" applyAlignment="0" applyProtection="0">
      <alignment horizontal="centerContinuous"/>
      <protection locked="0"/>
    </xf>
    <xf numFmtId="269" fontId="47" fillId="0" borderId="0" applyFont="0" applyFill="0" applyBorder="0" applyAlignment="0" applyProtection="0"/>
    <xf numFmtId="270" fontId="47" fillId="0" borderId="0" applyFont="0" applyFill="0" applyBorder="0" applyAlignment="0" applyProtection="0"/>
    <xf numFmtId="272" fontId="100" fillId="0" borderId="0" applyFont="0" applyFill="0" applyBorder="0" applyAlignment="0" applyProtection="0"/>
    <xf numFmtId="273" fontId="45" fillId="0" borderId="0" applyFont="0" applyFill="0" applyBorder="0" applyAlignment="0" applyProtection="0"/>
    <xf numFmtId="274" fontId="100" fillId="0" borderId="0" applyFont="0" applyFill="0" applyBorder="0" applyAlignment="0" applyProtection="0"/>
    <xf numFmtId="275" fontId="100" fillId="0" borderId="0" applyFont="0" applyFill="0" applyBorder="0" applyAlignment="0" applyProtection="0"/>
    <xf numFmtId="276" fontId="100" fillId="0" borderId="0" applyFont="0" applyFill="0" applyBorder="0" applyAlignment="0" applyProtection="0"/>
    <xf numFmtId="271" fontId="13" fillId="0" borderId="0" applyFont="0" applyFill="0" applyBorder="0" applyAlignment="0" applyProtection="0">
      <alignment horizontal="centerContinuous"/>
      <protection locked="0"/>
    </xf>
    <xf numFmtId="277" fontId="85" fillId="0" borderId="0" applyFont="0" applyFill="0" applyBorder="0" applyAlignment="0" applyProtection="0">
      <alignment horizontal="right"/>
    </xf>
    <xf numFmtId="172" fontId="68" fillId="22" borderId="0" applyFont="0" applyBorder="0" applyAlignment="0" applyProtection="0">
      <alignment horizontal="right"/>
      <protection hidden="1"/>
    </xf>
    <xf numFmtId="334" fontId="229" fillId="20" borderId="0" applyNumberFormat="0" applyBorder="0" applyAlignment="0" applyProtection="0"/>
    <xf numFmtId="40" fontId="31" fillId="0" borderId="0" applyFont="0" applyFill="0" applyBorder="0" applyAlignment="0" applyProtection="0">
      <alignment horizontal="center"/>
    </xf>
    <xf numFmtId="334" fontId="179" fillId="56" borderId="0"/>
    <xf numFmtId="334" fontId="73" fillId="57" borderId="0"/>
    <xf numFmtId="334" fontId="180" fillId="0" borderId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34" fontId="79" fillId="0" borderId="0" applyNumberFormat="0" applyFill="0" applyAlignment="0" applyProtection="0"/>
    <xf numFmtId="37" fontId="120" fillId="0" borderId="0"/>
    <xf numFmtId="278" fontId="13" fillId="0" borderId="0"/>
    <xf numFmtId="334" fontId="121" fillId="22" borderId="0">
      <alignment horizontal="left" indent="1"/>
    </xf>
    <xf numFmtId="279" fontId="216" fillId="0" borderId="0"/>
    <xf numFmtId="334" fontId="91" fillId="0" borderId="0"/>
    <xf numFmtId="334" fontId="91" fillId="0" borderId="0"/>
    <xf numFmtId="334" fontId="91" fillId="0" borderId="0"/>
    <xf numFmtId="334" fontId="91" fillId="0" borderId="0"/>
    <xf numFmtId="334" fontId="197" fillId="0" borderId="0"/>
    <xf numFmtId="334" fontId="197" fillId="0" borderId="0"/>
    <xf numFmtId="334" fontId="90" fillId="0" borderId="0"/>
    <xf numFmtId="334" fontId="184" fillId="0" borderId="0"/>
    <xf numFmtId="38" fontId="68" fillId="0" borderId="0" applyFont="0" applyFill="0" applyBorder="0" applyAlignment="0"/>
    <xf numFmtId="233" fontId="13" fillId="0" borderId="0" applyFont="0" applyFill="0" applyBorder="0" applyAlignment="0"/>
    <xf numFmtId="40" fontId="68" fillId="0" borderId="0" applyFont="0" applyFill="0" applyBorder="0" applyAlignment="0"/>
    <xf numFmtId="280" fontId="68" fillId="0" borderId="0" applyFont="0" applyFill="0" applyBorder="0" applyAlignment="0"/>
    <xf numFmtId="334" fontId="217" fillId="0" borderId="0"/>
    <xf numFmtId="334" fontId="217" fillId="0" borderId="0"/>
    <xf numFmtId="334" fontId="13" fillId="0" borderId="0"/>
    <xf numFmtId="334" fontId="217" fillId="0" borderId="0"/>
    <xf numFmtId="334" fontId="217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217" fillId="0" borderId="0"/>
    <xf numFmtId="334" fontId="217" fillId="0" borderId="0"/>
    <xf numFmtId="337" fontId="222" fillId="0" borderId="0"/>
    <xf numFmtId="334" fontId="217" fillId="0" borderId="0"/>
    <xf numFmtId="334" fontId="217" fillId="0" borderId="0"/>
    <xf numFmtId="335" fontId="217" fillId="0" borderId="0"/>
    <xf numFmtId="335" fontId="217" fillId="0" borderId="0"/>
    <xf numFmtId="337" fontId="222" fillId="0" borderId="0"/>
    <xf numFmtId="337" fontId="222" fillId="0" borderId="0"/>
    <xf numFmtId="37" fontId="70" fillId="41" borderId="95" applyBorder="0">
      <alignment horizontal="left" vertical="center" indent="2"/>
    </xf>
    <xf numFmtId="334" fontId="13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222" fillId="0" borderId="0"/>
    <xf numFmtId="334" fontId="222" fillId="0" borderId="0"/>
    <xf numFmtId="334" fontId="222" fillId="0" borderId="0"/>
    <xf numFmtId="334" fontId="13" fillId="0" borderId="0"/>
    <xf numFmtId="334" fontId="13" fillId="0" borderId="0"/>
    <xf numFmtId="334" fontId="13" fillId="0" borderId="0"/>
    <xf numFmtId="334" fontId="13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7" fontId="222" fillId="0" borderId="0"/>
    <xf numFmtId="334" fontId="222" fillId="0" borderId="0"/>
    <xf numFmtId="337" fontId="222" fillId="0" borderId="0"/>
    <xf numFmtId="334" fontId="224" fillId="0" borderId="0"/>
    <xf numFmtId="334" fontId="224" fillId="0" borderId="0"/>
    <xf numFmtId="173" fontId="222" fillId="0" borderId="0"/>
    <xf numFmtId="334" fontId="224" fillId="0" borderId="0"/>
    <xf numFmtId="334" fontId="224" fillId="0" borderId="0"/>
    <xf numFmtId="334" fontId="224" fillId="0" borderId="0"/>
    <xf numFmtId="334" fontId="224" fillId="0" borderId="0"/>
    <xf numFmtId="334" fontId="217" fillId="0" borderId="0"/>
    <xf numFmtId="334" fontId="217" fillId="0" borderId="0"/>
    <xf numFmtId="337" fontId="222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9" fillId="0" borderId="0">
      <alignment vertical="center"/>
    </xf>
    <xf numFmtId="173" fontId="222" fillId="0" borderId="0"/>
    <xf numFmtId="334" fontId="29" fillId="0" borderId="0">
      <alignment vertical="center"/>
    </xf>
    <xf numFmtId="334" fontId="29" fillId="0" borderId="0">
      <alignment vertical="center"/>
    </xf>
    <xf numFmtId="334" fontId="13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17" fillId="0" borderId="0"/>
    <xf numFmtId="334" fontId="222" fillId="0" borderId="0"/>
    <xf numFmtId="334" fontId="217" fillId="0" borderId="0"/>
    <xf numFmtId="334" fontId="217" fillId="0" borderId="0"/>
    <xf numFmtId="336" fontId="222" fillId="0" borderId="0"/>
    <xf numFmtId="336" fontId="222" fillId="0" borderId="0"/>
    <xf numFmtId="233" fontId="83" fillId="0" borderId="0" applyNumberFormat="0" applyFill="0" applyBorder="0" applyAlignment="0" applyProtection="0"/>
    <xf numFmtId="1" fontId="98" fillId="0" borderId="0" applyFont="0" applyFill="0" applyBorder="0" applyAlignment="0" applyProtection="0">
      <alignment horizontal="center"/>
    </xf>
    <xf numFmtId="281" fontId="68" fillId="0" borderId="0" applyFont="0" applyFill="0" applyBorder="0" applyAlignment="0" applyProtection="0"/>
    <xf numFmtId="233" fontId="13" fillId="0" borderId="0">
      <alignment horizontal="right"/>
    </xf>
    <xf numFmtId="233" fontId="68" fillId="0" borderId="0"/>
    <xf numFmtId="334" fontId="13" fillId="0" borderId="0" applyFont="0" applyFill="0" applyBorder="0" applyAlignment="0" applyProtection="0">
      <alignment horizontal="centerContinuous"/>
    </xf>
    <xf numFmtId="40" fontId="68" fillId="0" borderId="0"/>
    <xf numFmtId="334" fontId="13" fillId="0" borderId="0" applyFont="0" applyFill="0" applyBorder="0" applyAlignment="0" applyProtection="0">
      <alignment horizontal="centerContinuous"/>
    </xf>
    <xf numFmtId="282" fontId="13" fillId="0" borderId="0"/>
    <xf numFmtId="334" fontId="13" fillId="0" borderId="0" applyFont="0" applyFill="0" applyBorder="0" applyAlignment="0" applyProtection="0">
      <alignment horizontal="centerContinuous"/>
    </xf>
    <xf numFmtId="38" fontId="13" fillId="0" borderId="0"/>
    <xf numFmtId="40" fontId="83" fillId="0" borderId="0">
      <alignment horizontal="left"/>
    </xf>
    <xf numFmtId="334" fontId="13" fillId="0" borderId="0"/>
    <xf numFmtId="232" fontId="122" fillId="0" borderId="0">
      <alignment horizontal="right"/>
    </xf>
    <xf numFmtId="334" fontId="98" fillId="0" borderId="0"/>
    <xf numFmtId="39" fontId="68" fillId="0" borderId="0"/>
    <xf numFmtId="40" fontId="13" fillId="0" borderId="0" applyBorder="0">
      <alignment horizontal="right"/>
    </xf>
    <xf numFmtId="334" fontId="222" fillId="58" borderId="99" applyNumberFormat="0" applyFont="0" applyAlignment="0" applyProtection="0"/>
    <xf numFmtId="233" fontId="68" fillId="0" borderId="0" applyFont="0" applyFill="0" applyBorder="0" applyAlignment="0" applyProtection="0"/>
    <xf numFmtId="283" fontId="123" fillId="0" borderId="0"/>
    <xf numFmtId="40" fontId="13" fillId="0" borderId="0" applyFont="0" applyFill="0" applyBorder="0" applyAlignment="0" applyProtection="0">
      <alignment horizontal="center"/>
    </xf>
    <xf numFmtId="43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334" fontId="124" fillId="0" borderId="0"/>
    <xf numFmtId="334" fontId="230" fillId="46" borderId="100" applyNumberFormat="0" applyAlignment="0" applyProtection="0"/>
    <xf numFmtId="40" fontId="125" fillId="41" borderId="0">
      <alignment horizontal="right"/>
    </xf>
    <xf numFmtId="334" fontId="126" fillId="41" borderId="0">
      <alignment horizontal="right"/>
    </xf>
    <xf numFmtId="334" fontId="127" fillId="41" borderId="101"/>
    <xf numFmtId="334" fontId="127" fillId="0" borderId="0" applyBorder="0">
      <alignment horizontal="centerContinuous"/>
    </xf>
    <xf numFmtId="334" fontId="128" fillId="0" borderId="0" applyBorder="0">
      <alignment horizontal="centerContinuous"/>
    </xf>
    <xf numFmtId="334" fontId="129" fillId="0" borderId="83" applyNumberFormat="0" applyFill="0" applyBorder="0" applyAlignment="0">
      <protection locked="0"/>
    </xf>
    <xf numFmtId="284" fontId="130" fillId="0" borderId="0"/>
    <xf numFmtId="284" fontId="130" fillId="0" borderId="0"/>
    <xf numFmtId="1" fontId="131" fillId="0" borderId="0" applyProtection="0">
      <alignment horizontal="right" vertical="center"/>
    </xf>
    <xf numFmtId="334" fontId="132" fillId="41" borderId="0"/>
    <xf numFmtId="334" fontId="98" fillId="0" borderId="0" applyNumberFormat="0" applyFill="0" applyBorder="0" applyAlignment="0" applyProtection="0"/>
    <xf numFmtId="285" fontId="68" fillId="0" borderId="0"/>
    <xf numFmtId="334" fontId="185" fillId="0" borderId="0" applyFont="0" applyFill="0" applyBorder="0" applyAlignment="0" applyProtection="0"/>
    <xf numFmtId="14" fontId="45" fillId="0" borderId="0">
      <alignment horizontal="center" wrapText="1"/>
      <protection locked="0"/>
    </xf>
    <xf numFmtId="334" fontId="90" fillId="0" borderId="0"/>
    <xf numFmtId="9" fontId="41" fillId="0" borderId="0" applyFont="0" applyFill="0" applyBorder="0" applyAlignment="0" applyProtection="0"/>
    <xf numFmtId="286" fontId="13" fillId="0" borderId="0" applyFont="0" applyFill="0" applyBorder="0" applyAlignment="0" applyProtection="0"/>
    <xf numFmtId="230" fontId="13" fillId="0" borderId="0" applyFont="0" applyFill="0" applyBorder="0" applyAlignment="0" applyProtection="0"/>
    <xf numFmtId="287" fontId="13" fillId="0" borderId="0" applyFont="0" applyFill="0" applyBorder="0" applyAlignment="0" applyProtection="0"/>
    <xf numFmtId="257" fontId="68" fillId="0" borderId="0" applyFont="0" applyFill="0" applyBorder="0" applyAlignment="0"/>
    <xf numFmtId="288" fontId="100" fillId="0" borderId="0" applyFont="0" applyFill="0" applyBorder="0" applyAlignment="0" applyProtection="0"/>
    <xf numFmtId="289" fontId="100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223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17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222" fillId="0" borderId="0" applyFont="0" applyFill="0" applyBorder="0" applyAlignment="0" applyProtection="0"/>
    <xf numFmtId="9" fontId="13" fillId="0" borderId="0" applyFont="0" applyFill="0" applyBorder="0" applyAlignment="0" applyProtection="0"/>
    <xf numFmtId="257" fontId="98" fillId="0" borderId="0" applyFont="0" applyFill="0" applyBorder="0" applyAlignment="0" applyProtection="0">
      <alignment horizontal="center"/>
    </xf>
    <xf numFmtId="334" fontId="45" fillId="0" borderId="0" applyFill="0" applyBorder="0" applyAlignment="0" applyProtection="0"/>
    <xf numFmtId="290" fontId="13" fillId="0" borderId="0" applyFont="0" applyFill="0" applyBorder="0" applyAlignment="0" applyProtection="0"/>
    <xf numFmtId="29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92" fontId="133" fillId="0" borderId="0" applyFont="0" applyFill="0" applyBorder="0" applyAlignment="0" applyProtection="0">
      <protection locked="0"/>
    </xf>
    <xf numFmtId="293" fontId="68" fillId="0" borderId="0" applyFont="0" applyFill="0" applyBorder="0" applyAlignment="0" applyProtection="0"/>
    <xf numFmtId="294" fontId="68" fillId="0" borderId="0" applyFont="0" applyFill="0" applyBorder="0" applyAlignment="0" applyProtection="0"/>
    <xf numFmtId="334" fontId="134" fillId="0" borderId="0"/>
    <xf numFmtId="227" fontId="13" fillId="0" borderId="0" applyFill="0" applyBorder="0" applyAlignment="0"/>
    <xf numFmtId="227" fontId="13" fillId="0" borderId="0" applyFill="0" applyBorder="0" applyAlignment="0"/>
    <xf numFmtId="227" fontId="13" fillId="0" borderId="0" applyFill="0" applyBorder="0" applyAlignment="0"/>
    <xf numFmtId="231" fontId="13" fillId="0" borderId="0" applyFill="0" applyBorder="0" applyAlignment="0"/>
    <xf numFmtId="227" fontId="13" fillId="0" borderId="0" applyFill="0" applyBorder="0" applyAlignment="0"/>
    <xf numFmtId="8" fontId="135" fillId="0" borderId="102">
      <alignment horizontal="right"/>
    </xf>
    <xf numFmtId="334" fontId="136" fillId="45" borderId="0">
      <alignment horizontal="left" indent="1"/>
    </xf>
    <xf numFmtId="334" fontId="13" fillId="0" borderId="0" applyNumberFormat="0" applyFont="0" applyFill="0" applyBorder="0" applyAlignment="0">
      <protection hidden="1"/>
    </xf>
    <xf numFmtId="334" fontId="48" fillId="0" borderId="0" applyNumberFormat="0" applyFont="0" applyFill="0" applyBorder="0" applyAlignment="0" applyProtection="0">
      <alignment horizontal="left"/>
    </xf>
    <xf numFmtId="15" fontId="48" fillId="0" borderId="0" applyFont="0" applyFill="0" applyBorder="0" applyAlignment="0" applyProtection="0"/>
    <xf numFmtId="4" fontId="48" fillId="0" borderId="0" applyFont="0" applyFill="0" applyBorder="0" applyAlignment="0" applyProtection="0"/>
    <xf numFmtId="334" fontId="43" fillId="0" borderId="72">
      <alignment horizontal="center"/>
    </xf>
    <xf numFmtId="3" fontId="48" fillId="0" borderId="0" applyFont="0" applyFill="0" applyBorder="0" applyAlignment="0" applyProtection="0"/>
    <xf numFmtId="334" fontId="48" fillId="59" borderId="0" applyNumberFormat="0" applyFont="0" applyBorder="0" applyAlignment="0" applyProtection="0"/>
    <xf numFmtId="317" fontId="13" fillId="0" borderId="0"/>
    <xf numFmtId="334" fontId="184" fillId="0" borderId="0"/>
    <xf numFmtId="334" fontId="184" fillId="0" borderId="0"/>
    <xf numFmtId="39" fontId="137" fillId="0" borderId="0" applyNumberFormat="0">
      <alignment horizontal="right"/>
    </xf>
    <xf numFmtId="233" fontId="138" fillId="0" borderId="0" applyNumberFormat="0" applyFill="0" applyBorder="0" applyAlignment="0" applyProtection="0">
      <alignment horizontal="left"/>
    </xf>
    <xf numFmtId="334" fontId="139" fillId="60" borderId="0" applyNumberFormat="0" applyFont="0" applyBorder="0" applyAlignment="0">
      <alignment horizontal="center"/>
    </xf>
    <xf numFmtId="295" fontId="13" fillId="0" borderId="103" applyBorder="0">
      <alignment horizontal="right"/>
    </xf>
    <xf numFmtId="296" fontId="123" fillId="0" borderId="0" applyNumberFormat="0" applyFill="0" applyBorder="0" applyAlignment="0" applyProtection="0">
      <alignment horizontal="left"/>
    </xf>
    <xf numFmtId="334" fontId="13" fillId="0" borderId="104" applyNumberFormat="0" applyFont="0" applyFill="0" applyAlignment="0" applyProtection="0"/>
    <xf numFmtId="334" fontId="50" fillId="0" borderId="0" applyNumberFormat="0" applyFill="0" applyBorder="0" applyProtection="0">
      <alignment horizontal="left"/>
    </xf>
    <xf numFmtId="334" fontId="140" fillId="0" borderId="105">
      <alignment vertical="center"/>
    </xf>
    <xf numFmtId="205" fontId="41" fillId="0" borderId="0" applyBorder="0" applyAlignment="0">
      <alignment horizontal="centerContinuous" vertical="center"/>
    </xf>
    <xf numFmtId="4" fontId="154" fillId="20" borderId="106" applyNumberFormat="0" applyProtection="0">
      <alignment vertical="center"/>
    </xf>
    <xf numFmtId="4" fontId="198" fillId="54" borderId="106" applyNumberFormat="0" applyProtection="0">
      <alignment vertical="center"/>
    </xf>
    <xf numFmtId="4" fontId="154" fillId="54" borderId="106" applyNumberFormat="0" applyProtection="0">
      <alignment horizontal="left" vertical="center" indent="1"/>
    </xf>
    <xf numFmtId="334" fontId="154" fillId="54" borderId="106" applyNumberFormat="0" applyProtection="0">
      <alignment horizontal="left" vertical="top" indent="1"/>
    </xf>
    <xf numFmtId="4" fontId="154" fillId="61" borderId="0" applyNumberFormat="0" applyProtection="0">
      <alignment horizontal="left" vertical="center" indent="1"/>
    </xf>
    <xf numFmtId="4" fontId="96" fillId="24" borderId="106" applyNumberFormat="0" applyProtection="0">
      <alignment horizontal="right" vertical="center"/>
    </xf>
    <xf numFmtId="4" fontId="96" fillId="30" borderId="106" applyNumberFormat="0" applyProtection="0">
      <alignment horizontal="right" vertical="center"/>
    </xf>
    <xf numFmtId="4" fontId="96" fillId="38" borderId="106" applyNumberFormat="0" applyProtection="0">
      <alignment horizontal="right" vertical="center"/>
    </xf>
    <xf numFmtId="4" fontId="96" fillId="32" borderId="106" applyNumberFormat="0" applyProtection="0">
      <alignment horizontal="right" vertical="center"/>
    </xf>
    <xf numFmtId="4" fontId="96" fillId="36" borderId="106" applyNumberFormat="0" applyProtection="0">
      <alignment horizontal="right" vertical="center"/>
    </xf>
    <xf numFmtId="4" fontId="96" fillId="40" borderId="106" applyNumberFormat="0" applyProtection="0">
      <alignment horizontal="right" vertical="center"/>
    </xf>
    <xf numFmtId="4" fontId="96" fillId="39" borderId="106" applyNumberFormat="0" applyProtection="0">
      <alignment horizontal="right" vertical="center"/>
    </xf>
    <xf numFmtId="4" fontId="96" fillId="62" borderId="106" applyNumberFormat="0" applyProtection="0">
      <alignment horizontal="right" vertical="center"/>
    </xf>
    <xf numFmtId="4" fontId="96" fillId="31" borderId="106" applyNumberFormat="0" applyProtection="0">
      <alignment horizontal="right" vertical="center"/>
    </xf>
    <xf numFmtId="4" fontId="154" fillId="63" borderId="107" applyNumberFormat="0" applyProtection="0">
      <alignment horizontal="left" vertical="center" indent="1"/>
    </xf>
    <xf numFmtId="4" fontId="96" fillId="64" borderId="0" applyNumberFormat="0" applyProtection="0">
      <alignment horizontal="left" vertical="center" indent="1"/>
    </xf>
    <xf numFmtId="4" fontId="199" fillId="65" borderId="0" applyNumberFormat="0" applyProtection="0">
      <alignment horizontal="left" vertical="center" indent="1"/>
    </xf>
    <xf numFmtId="4" fontId="96" fillId="66" borderId="106" applyNumberFormat="0" applyProtection="0">
      <alignment horizontal="right" vertical="center"/>
    </xf>
    <xf numFmtId="4" fontId="96" fillId="64" borderId="0" applyNumberFormat="0" applyProtection="0">
      <alignment horizontal="left" vertical="center" indent="1"/>
    </xf>
    <xf numFmtId="4" fontId="96" fillId="61" borderId="0" applyNumberFormat="0" applyProtection="0">
      <alignment horizontal="left" vertical="center" indent="1"/>
    </xf>
    <xf numFmtId="334" fontId="13" fillId="65" borderId="106" applyNumberFormat="0" applyProtection="0">
      <alignment horizontal="left" vertical="center" indent="1"/>
    </xf>
    <xf numFmtId="334" fontId="13" fillId="65" borderId="106" applyNumberFormat="0" applyProtection="0">
      <alignment horizontal="left" vertical="top" indent="1"/>
    </xf>
    <xf numFmtId="334" fontId="13" fillId="61" borderId="106" applyNumberFormat="0" applyProtection="0">
      <alignment horizontal="left" vertical="center" indent="1"/>
    </xf>
    <xf numFmtId="334" fontId="13" fillId="61" borderId="106" applyNumberFormat="0" applyProtection="0">
      <alignment horizontal="left" vertical="top" indent="1"/>
    </xf>
    <xf numFmtId="334" fontId="13" fillId="67" borderId="106" applyNumberFormat="0" applyProtection="0">
      <alignment horizontal="left" vertical="center" indent="1"/>
    </xf>
    <xf numFmtId="334" fontId="13" fillId="67" borderId="106" applyNumberFormat="0" applyProtection="0">
      <alignment horizontal="left" vertical="top" indent="1"/>
    </xf>
    <xf numFmtId="334" fontId="13" fillId="68" borderId="106" applyNumberFormat="0" applyProtection="0">
      <alignment horizontal="left" vertical="center" indent="1"/>
    </xf>
    <xf numFmtId="334" fontId="13" fillId="68" borderId="106" applyNumberFormat="0" applyProtection="0">
      <alignment horizontal="left" vertical="top" indent="1"/>
    </xf>
    <xf numFmtId="4" fontId="96" fillId="51" borderId="106" applyNumberFormat="0" applyProtection="0">
      <alignment vertical="center"/>
    </xf>
    <xf numFmtId="4" fontId="129" fillId="51" borderId="106" applyNumberFormat="0" applyProtection="0">
      <alignment vertical="center"/>
    </xf>
    <xf numFmtId="4" fontId="96" fillId="51" borderId="106" applyNumberFormat="0" applyProtection="0">
      <alignment horizontal="left" vertical="center" indent="1"/>
    </xf>
    <xf numFmtId="334" fontId="96" fillId="51" borderId="106" applyNumberFormat="0" applyProtection="0">
      <alignment horizontal="left" vertical="top" indent="1"/>
    </xf>
    <xf numFmtId="4" fontId="96" fillId="64" borderId="106" applyNumberFormat="0" applyProtection="0">
      <alignment horizontal="right" vertical="center"/>
    </xf>
    <xf numFmtId="4" fontId="129" fillId="64" borderId="106" applyNumberFormat="0" applyProtection="0">
      <alignment horizontal="right" vertical="center"/>
    </xf>
    <xf numFmtId="4" fontId="96" fillId="66" borderId="106" applyNumberFormat="0" applyProtection="0">
      <alignment horizontal="left" vertical="center" indent="1"/>
    </xf>
    <xf numFmtId="334" fontId="96" fillId="61" borderId="106" applyNumberFormat="0" applyProtection="0">
      <alignment horizontal="left" vertical="top" indent="1"/>
    </xf>
    <xf numFmtId="4" fontId="200" fillId="69" borderId="0" applyNumberFormat="0" applyProtection="0">
      <alignment horizontal="left" vertical="center" indent="1"/>
    </xf>
    <xf numFmtId="4" fontId="10" fillId="64" borderId="106" applyNumberFormat="0" applyProtection="0">
      <alignment horizontal="right" vertical="center"/>
    </xf>
    <xf numFmtId="334" fontId="141" fillId="0" borderId="108"/>
    <xf numFmtId="334" fontId="148" fillId="70" borderId="0">
      <alignment vertical="top"/>
    </xf>
    <xf numFmtId="297" fontId="47" fillId="0" borderId="0" applyFont="0" applyFill="0" applyBorder="0" applyAlignment="0" applyProtection="0">
      <alignment vertical="center"/>
    </xf>
    <xf numFmtId="334" fontId="139" fillId="1" borderId="95" applyNumberFormat="0" applyFont="0" applyAlignment="0">
      <alignment horizontal="center"/>
    </xf>
    <xf numFmtId="280" fontId="45" fillId="0" borderId="0" applyFont="0" applyFill="0" applyBorder="0" applyAlignment="0" applyProtection="0"/>
    <xf numFmtId="37" fontId="13" fillId="0" borderId="85" applyBorder="0">
      <alignment horizontal="right"/>
      <protection locked="0"/>
    </xf>
    <xf numFmtId="298" fontId="130" fillId="0" borderId="0">
      <alignment horizontal="center"/>
    </xf>
    <xf numFmtId="1" fontId="13" fillId="0" borderId="0"/>
    <xf numFmtId="299" fontId="142" fillId="0" borderId="0">
      <alignment horizontal="center"/>
    </xf>
    <xf numFmtId="334" fontId="79" fillId="0" borderId="83" applyNumberFormat="0" applyFill="0" applyAlignment="0" applyProtection="0"/>
    <xf numFmtId="334" fontId="79" fillId="0" borderId="83" applyNumberFormat="0" applyFill="0" applyAlignment="0" applyProtection="0"/>
    <xf numFmtId="334" fontId="79" fillId="0" borderId="83" applyNumberFormat="0" applyFill="0" applyAlignment="0" applyProtection="0"/>
    <xf numFmtId="334" fontId="79" fillId="0" borderId="83" applyNumberFormat="0" applyFill="0" applyAlignment="0" applyProtection="0"/>
    <xf numFmtId="334" fontId="79" fillId="0" borderId="83" applyNumberFormat="0" applyFill="0" applyAlignment="0" applyProtection="0"/>
    <xf numFmtId="334" fontId="79" fillId="0" borderId="83" applyNumberFormat="0" applyFill="0" applyAlignment="0" applyProtection="0"/>
    <xf numFmtId="334" fontId="79" fillId="0" borderId="83" applyNumberFormat="0" applyFill="0" applyAlignment="0" applyProtection="0"/>
    <xf numFmtId="334" fontId="101" fillId="0" borderId="104"/>
    <xf numFmtId="334" fontId="101" fillId="0" borderId="109"/>
    <xf numFmtId="334" fontId="101" fillId="0" borderId="110"/>
    <xf numFmtId="334" fontId="101" fillId="0" borderId="111"/>
    <xf numFmtId="1" fontId="13" fillId="0" borderId="0" applyNumberFormat="0" applyFill="0" applyBorder="0" applyAlignment="0" applyProtection="0">
      <alignment horizontal="center"/>
    </xf>
    <xf numFmtId="1" fontId="101" fillId="0" borderId="0" applyNumberFormat="0" applyFill="0" applyBorder="0" applyAlignment="0" applyProtection="0">
      <alignment horizontal="center"/>
    </xf>
    <xf numFmtId="334" fontId="143" fillId="0" borderId="0" applyNumberFormat="0" applyFill="0" applyBorder="0" applyAlignment="0">
      <alignment horizontal="center"/>
    </xf>
    <xf numFmtId="334" fontId="144" fillId="0" borderId="112" applyBorder="0" applyAlignment="0">
      <alignment horizontal="center"/>
    </xf>
    <xf numFmtId="238" fontId="201" fillId="0" borderId="0"/>
    <xf numFmtId="6" fontId="44" fillId="0" borderId="0">
      <alignment horizontal="right" vertical="center"/>
    </xf>
    <xf numFmtId="37" fontId="44" fillId="19" borderId="71">
      <alignment horizontal="right" vertical="center"/>
    </xf>
    <xf numFmtId="38" fontId="44" fillId="0" borderId="0">
      <alignment horizontal="right" vertical="center"/>
    </xf>
    <xf numFmtId="9" fontId="44" fillId="0" borderId="0">
      <alignment horizontal="right" vertical="center"/>
    </xf>
    <xf numFmtId="334" fontId="44" fillId="0" borderId="0"/>
    <xf numFmtId="334" fontId="145" fillId="0" borderId="112" applyBorder="0" applyAlignment="0">
      <alignment horizontal="center"/>
    </xf>
    <xf numFmtId="233" fontId="68" fillId="71" borderId="0" applyNumberFormat="0" applyFont="0" applyBorder="0" applyAlignment="0">
      <protection hidden="1"/>
    </xf>
    <xf numFmtId="334" fontId="146" fillId="0" borderId="0"/>
    <xf numFmtId="334" fontId="13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4" fillId="0" borderId="0" applyFont="0" applyFill="0" applyBorder="0" applyAlignment="0" applyProtection="0"/>
    <xf numFmtId="334" fontId="189" fillId="0" borderId="0"/>
    <xf numFmtId="334" fontId="147" fillId="0" borderId="0" applyNumberFormat="0" applyFill="0" applyBorder="0" applyProtection="0"/>
    <xf numFmtId="334" fontId="148" fillId="70" borderId="0" applyNumberFormat="0" applyBorder="0" applyProtection="0"/>
    <xf numFmtId="334" fontId="56" fillId="57" borderId="0" applyNumberFormat="0" applyBorder="0" applyProtection="0"/>
    <xf numFmtId="334" fontId="149" fillId="0" borderId="0" applyNumberFormat="0" applyFill="0" applyBorder="0" applyProtection="0"/>
    <xf numFmtId="334" fontId="56" fillId="0" borderId="0" applyNumberFormat="0" applyFill="0" applyBorder="0" applyProtection="0"/>
    <xf numFmtId="334" fontId="150" fillId="0" borderId="0" applyNumberFormat="0" applyFill="0" applyBorder="0" applyProtection="0"/>
    <xf numFmtId="334" fontId="56" fillId="0" borderId="0" applyNumberFormat="0" applyFill="0" applyBorder="0" applyProtection="0">
      <alignment wrapText="1"/>
    </xf>
    <xf numFmtId="334" fontId="151" fillId="0" borderId="0" applyNumberFormat="0" applyFill="0" applyBorder="0" applyProtection="0"/>
    <xf numFmtId="213" fontId="68" fillId="0" borderId="0" applyFill="0" applyBorder="0" applyProtection="0">
      <alignment horizontal="right" wrapText="1"/>
    </xf>
    <xf numFmtId="334" fontId="13" fillId="0" borderId="0">
      <alignment vertical="top"/>
    </xf>
    <xf numFmtId="4" fontId="68" fillId="0" borderId="0" applyFill="0" applyBorder="0" applyProtection="0">
      <alignment wrapText="1"/>
    </xf>
    <xf numFmtId="334" fontId="68" fillId="0" borderId="0" applyNumberFormat="0" applyFill="0" applyBorder="0" applyProtection="0">
      <alignment horizontal="left" vertical="top" wrapText="1"/>
    </xf>
    <xf numFmtId="334" fontId="83" fillId="0" borderId="0" applyNumberFormat="0" applyFill="0" applyBorder="0" applyProtection="0">
      <alignment horizontal="left" vertical="top" wrapText="1"/>
    </xf>
    <xf numFmtId="300" fontId="114" fillId="0" borderId="0" applyFill="0" applyBorder="0" applyProtection="0">
      <alignment horizontal="center" wrapText="1"/>
    </xf>
    <xf numFmtId="301" fontId="114" fillId="0" borderId="0" applyFill="0" applyBorder="0" applyProtection="0">
      <alignment horizontal="right" wrapText="1"/>
    </xf>
    <xf numFmtId="301" fontId="114" fillId="0" borderId="0" applyFill="0" applyBorder="0" applyProtection="0">
      <alignment horizontal="right" wrapText="1"/>
    </xf>
    <xf numFmtId="302" fontId="114" fillId="0" borderId="0" applyFill="0" applyBorder="0" applyProtection="0">
      <alignment horizontal="right" wrapText="1"/>
    </xf>
    <xf numFmtId="37" fontId="114" fillId="0" borderId="0" applyFill="0" applyBorder="0" applyProtection="0">
      <alignment horizontal="center" wrapText="1"/>
    </xf>
    <xf numFmtId="303" fontId="114" fillId="0" borderId="0" applyFill="0" applyBorder="0" applyProtection="0">
      <alignment horizontal="right"/>
    </xf>
    <xf numFmtId="304" fontId="114" fillId="0" borderId="0" applyFill="0" applyBorder="0" applyProtection="0">
      <alignment horizontal="right"/>
    </xf>
    <xf numFmtId="334" fontId="29" fillId="0" borderId="0">
      <alignment vertical="top"/>
    </xf>
    <xf numFmtId="305" fontId="114" fillId="0" borderId="0" applyFill="0" applyBorder="0" applyProtection="0">
      <alignment horizontal="right"/>
    </xf>
    <xf numFmtId="4" fontId="114" fillId="0" borderId="0" applyFill="0" applyBorder="0" applyProtection="0">
      <alignment wrapText="1"/>
    </xf>
    <xf numFmtId="334" fontId="83" fillId="0" borderId="113" applyNumberFormat="0" applyFill="0" applyProtection="0">
      <alignment wrapText="1"/>
    </xf>
    <xf numFmtId="334" fontId="31" fillId="0" borderId="0" applyNumberFormat="0" applyFill="0" applyBorder="0" applyProtection="0">
      <alignment wrapText="1"/>
    </xf>
    <xf numFmtId="334" fontId="83" fillId="0" borderId="113" applyNumberFormat="0" applyFill="0" applyProtection="0">
      <alignment horizontal="center" wrapText="1"/>
    </xf>
    <xf numFmtId="306" fontId="83" fillId="0" borderId="0" applyFill="0" applyBorder="0" applyProtection="0">
      <alignment horizontal="center" wrapText="1"/>
    </xf>
    <xf numFmtId="334" fontId="107" fillId="0" borderId="0" applyNumberFormat="0" applyFill="0" applyBorder="0" applyProtection="0">
      <alignment horizontal="justify" wrapText="1"/>
    </xf>
    <xf numFmtId="334" fontId="83" fillId="0" borderId="0" applyNumberFormat="0" applyFill="0" applyBorder="0" applyProtection="0">
      <alignment horizontal="centerContinuous" wrapText="1"/>
    </xf>
    <xf numFmtId="334" fontId="189" fillId="0" borderId="0"/>
    <xf numFmtId="334" fontId="189" fillId="0" borderId="0"/>
    <xf numFmtId="334" fontId="13" fillId="0" borderId="0">
      <alignment vertical="top"/>
    </xf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189" fillId="0" borderId="0"/>
    <xf numFmtId="334" fontId="68" fillId="0" borderId="0" applyNumberFormat="0" applyFill="0" applyBorder="0" applyAlignment="0" applyProtection="0"/>
    <xf numFmtId="334" fontId="68" fillId="0" borderId="0" applyNumberFormat="0" applyFill="0" applyBorder="0" applyAlignment="0" applyProtection="0"/>
    <xf numFmtId="334" fontId="189" fillId="0" borderId="0"/>
    <xf numFmtId="334" fontId="68" fillId="0" borderId="0" applyNumberFormat="0" applyFill="0" applyBorder="0" applyAlignment="0" applyProtection="0"/>
    <xf numFmtId="334" fontId="189" fillId="0" borderId="0"/>
    <xf numFmtId="334" fontId="68" fillId="0" borderId="0" applyNumberFormat="0" applyFill="0" applyBorder="0" applyAlignment="0" applyProtection="0"/>
    <xf numFmtId="334" fontId="96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231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15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199" fillId="0" borderId="0" applyNumberFormat="0" applyBorder="0" applyAlignment="0"/>
    <xf numFmtId="334" fontId="199" fillId="0" borderId="0" applyNumberFormat="0" applyBorder="0" applyAlignment="0"/>
    <xf numFmtId="334" fontId="15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3" fillId="0" borderId="0" applyNumberFormat="0" applyBorder="0" applyAlignment="0"/>
    <xf numFmtId="334" fontId="234" fillId="0" borderId="0" applyNumberFormat="0" applyBorder="0" applyAlignment="0"/>
    <xf numFmtId="334" fontId="234" fillId="0" borderId="0" applyNumberFormat="0" applyBorder="0" applyAlignment="0"/>
    <xf numFmtId="334" fontId="154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96" fillId="0" borderId="0" applyNumberFormat="0" applyBorder="0" applyAlignment="0"/>
    <xf numFmtId="334" fontId="232" fillId="0" borderId="0" applyNumberFormat="0" applyBorder="0" applyAlignment="0"/>
    <xf numFmtId="334" fontId="96" fillId="0" borderId="0" applyNumberFormat="0" applyBorder="0" applyAlignment="0"/>
    <xf numFmtId="334" fontId="155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154" fillId="0" borderId="0" applyNumberFormat="0" applyBorder="0" applyAlignment="0"/>
    <xf numFmtId="334" fontId="96" fillId="0" borderId="0" applyNumberFormat="0" applyBorder="0" applyAlignment="0"/>
    <xf numFmtId="334" fontId="154" fillId="0" borderId="0" applyNumberFormat="0" applyBorder="0" applyAlignment="0"/>
    <xf numFmtId="334" fontId="155" fillId="0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96" fillId="62" borderId="0" applyNumberFormat="0" applyBorder="0" applyAlignment="0"/>
    <xf numFmtId="334" fontId="154" fillId="0" borderId="0" applyNumberFormat="0" applyBorder="0" applyAlignment="0"/>
    <xf numFmtId="334" fontId="96" fillId="62" borderId="0" applyNumberFormat="0" applyBorder="0" applyAlignment="0"/>
    <xf numFmtId="334" fontId="1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232" fillId="0" borderId="0" applyNumberFormat="0" applyBorder="0" applyAlignment="0"/>
    <xf numFmtId="334" fontId="196" fillId="0" borderId="0"/>
    <xf numFmtId="334" fontId="156" fillId="0" borderId="0"/>
    <xf numFmtId="233" fontId="45" fillId="0" borderId="0" applyFill="0" applyBorder="0" applyAlignment="0" applyProtection="0"/>
    <xf numFmtId="334" fontId="181" fillId="0" borderId="0"/>
    <xf numFmtId="334" fontId="50" fillId="0" borderId="114"/>
    <xf numFmtId="40" fontId="157" fillId="0" borderId="0" applyBorder="0">
      <alignment horizontal="right"/>
    </xf>
    <xf numFmtId="334" fontId="182" fillId="0" borderId="0"/>
    <xf numFmtId="334" fontId="184" fillId="0" borderId="0"/>
    <xf numFmtId="334" fontId="184" fillId="0" borderId="0"/>
    <xf numFmtId="334" fontId="101" fillId="0" borderId="0" applyNumberFormat="0" applyFont="0" applyBorder="0" applyAlignment="0">
      <alignment horizontal="left"/>
    </xf>
    <xf numFmtId="334" fontId="158" fillId="0" borderId="0" applyBorder="0" applyProtection="0">
      <alignment vertical="center"/>
    </xf>
    <xf numFmtId="251" fontId="158" fillId="0" borderId="83" applyBorder="0" applyProtection="0">
      <alignment horizontal="right" vertical="center"/>
    </xf>
    <xf numFmtId="334" fontId="159" fillId="72" borderId="0" applyBorder="0" applyProtection="0">
      <alignment horizontal="centerContinuous" vertical="center"/>
    </xf>
    <xf numFmtId="334" fontId="159" fillId="21" borderId="83" applyBorder="0" applyProtection="0">
      <alignment horizontal="centerContinuous" vertical="center"/>
    </xf>
    <xf numFmtId="334" fontId="160" fillId="0" borderId="0"/>
    <xf numFmtId="334" fontId="98" fillId="0" borderId="0"/>
    <xf numFmtId="334" fontId="161" fillId="0" borderId="0" applyFill="0" applyBorder="0" applyProtection="0">
      <alignment horizontal="left"/>
    </xf>
    <xf numFmtId="334" fontId="162" fillId="0" borderId="92" applyFill="0" applyBorder="0" applyProtection="0">
      <alignment horizontal="left" vertical="top"/>
    </xf>
    <xf numFmtId="334" fontId="13" fillId="0" borderId="115" applyAlignment="0"/>
    <xf numFmtId="233" fontId="13" fillId="73" borderId="0" applyNumberFormat="0" applyFont="0" applyBorder="0" applyAlignment="0" applyProtection="0"/>
    <xf numFmtId="334" fontId="163" fillId="45" borderId="0" applyBorder="0">
      <alignment horizontal="left" vertical="center" indent="1"/>
    </xf>
    <xf numFmtId="334" fontId="164" fillId="0" borderId="0"/>
    <xf numFmtId="334" fontId="165" fillId="0" borderId="0"/>
    <xf numFmtId="49" fontId="96" fillId="0" borderId="0" applyFill="0" applyBorder="0" applyAlignment="0"/>
    <xf numFmtId="307" fontId="13" fillId="0" borderId="0" applyFill="0" applyBorder="0" applyAlignment="0"/>
    <xf numFmtId="308" fontId="13" fillId="0" borderId="0" applyFill="0" applyBorder="0" applyAlignment="0"/>
    <xf numFmtId="334" fontId="56" fillId="0" borderId="0">
      <alignment vertical="top"/>
    </xf>
    <xf numFmtId="309" fontId="13" fillId="0" borderId="0" applyFont="0" applyFill="0" applyBorder="0" applyAlignment="0" applyProtection="0">
      <alignment horizontal="center"/>
    </xf>
    <xf numFmtId="310" fontId="13" fillId="0" borderId="0" applyFont="0" applyFill="0" applyBorder="0" applyAlignment="0" applyProtection="0">
      <alignment horizontal="center"/>
    </xf>
    <xf numFmtId="334" fontId="150" fillId="0" borderId="0"/>
    <xf numFmtId="334" fontId="149" fillId="0" borderId="0">
      <alignment vertical="top"/>
    </xf>
    <xf numFmtId="311" fontId="13" fillId="0" borderId="0" applyFont="0" applyFill="0" applyBorder="0" applyAlignment="0" applyProtection="0">
      <alignment horizontal="center"/>
    </xf>
    <xf numFmtId="312" fontId="13" fillId="0" borderId="0" applyFont="0" applyFill="0" applyBorder="0" applyAlignment="0" applyProtection="0">
      <alignment horizontal="center"/>
    </xf>
    <xf numFmtId="233" fontId="166" fillId="0" borderId="0" applyFill="0" applyBorder="0" applyAlignment="0" applyProtection="0">
      <alignment horizontal="right"/>
    </xf>
    <xf numFmtId="39" fontId="13" fillId="51" borderId="85" applyFont="0" applyFill="0" applyBorder="0" applyAlignment="0" applyProtection="0">
      <alignment horizontal="center"/>
      <protection locked="0"/>
    </xf>
    <xf numFmtId="334" fontId="144" fillId="0" borderId="0" applyFill="0" applyBorder="0" applyProtection="0">
      <alignment horizontal="left" vertical="top"/>
    </xf>
    <xf numFmtId="334" fontId="167" fillId="74" borderId="0" applyBorder="0">
      <alignment horizontal="left" vertical="center" indent="1"/>
    </xf>
    <xf numFmtId="334" fontId="168" fillId="0" borderId="0"/>
    <xf numFmtId="233" fontId="135" fillId="0" borderId="0" applyNumberFormat="0" applyFill="0" applyBorder="0" applyAlignment="0" applyProtection="0"/>
    <xf numFmtId="334" fontId="147" fillId="0" borderId="0">
      <alignment vertical="top"/>
    </xf>
    <xf numFmtId="233" fontId="68" fillId="0" borderId="0" applyFont="0" applyFill="0" applyBorder="0">
      <alignment horizontal="left"/>
    </xf>
    <xf numFmtId="227" fontId="13" fillId="0" borderId="116">
      <protection locked="0"/>
    </xf>
    <xf numFmtId="6" fontId="169" fillId="0" borderId="116" applyFill="0" applyAlignment="0" applyProtection="0"/>
    <xf numFmtId="180" fontId="13" fillId="0" borderId="0" applyFont="0" applyFill="0" applyBorder="0" applyAlignment="0" applyProtection="0"/>
    <xf numFmtId="238" fontId="170" fillId="0" borderId="0">
      <alignment horizontal="left"/>
      <protection locked="0"/>
    </xf>
    <xf numFmtId="334" fontId="13" fillId="75" borderId="0"/>
    <xf numFmtId="334" fontId="171" fillId="75" borderId="0" applyFill="0"/>
    <xf numFmtId="3" fontId="95" fillId="0" borderId="83" applyNumberFormat="0" applyFont="0" applyFill="0" applyAlignment="0" applyProtection="0">
      <alignment horizontal="right"/>
      <protection locked="0"/>
    </xf>
    <xf numFmtId="38" fontId="172" fillId="0" borderId="0" applyNumberFormat="0" applyBorder="0" applyAlignment="0">
      <protection locked="0"/>
    </xf>
    <xf numFmtId="334" fontId="149" fillId="0" borderId="0"/>
    <xf numFmtId="38" fontId="45" fillId="0" borderId="0" applyFill="0" applyBorder="0" applyAlignment="0" applyProtection="0">
      <alignment horizontal="left"/>
    </xf>
    <xf numFmtId="179" fontId="13" fillId="0" borderId="0" applyFont="0" applyFill="0" applyBorder="0" applyAlignment="0" applyProtection="0"/>
    <xf numFmtId="267" fontId="13" fillId="0" borderId="0" applyFont="0" applyFill="0" applyBorder="0" applyAlignment="0" applyProtection="0"/>
    <xf numFmtId="268" fontId="13" fillId="0" borderId="0" applyFont="0" applyFill="0" applyBorder="0" applyAlignment="0" applyProtection="0"/>
    <xf numFmtId="334" fontId="173" fillId="0" borderId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334" fontId="235" fillId="0" borderId="0" applyNumberFormat="0" applyFill="0" applyBorder="0" applyAlignment="0" applyProtection="0"/>
    <xf numFmtId="233" fontId="94" fillId="0" borderId="0" applyNumberFormat="0" applyFill="0" applyBorder="0" applyAlignment="0" applyProtection="0"/>
    <xf numFmtId="313" fontId="91" fillId="0" borderId="0"/>
    <xf numFmtId="334" fontId="91" fillId="22" borderId="0">
      <alignment horizontal="center"/>
    </xf>
    <xf numFmtId="38" fontId="29" fillId="0" borderId="0" applyNumberFormat="0" applyFont="0" applyFill="0" applyBorder="0" applyProtection="0">
      <alignment horizontal="center" vertical="center" wrapText="1"/>
    </xf>
    <xf numFmtId="40" fontId="83" fillId="0" borderId="0">
      <alignment horizontal="left" wrapText="1"/>
    </xf>
    <xf numFmtId="232" fontId="29" fillId="0" borderId="0"/>
    <xf numFmtId="334" fontId="13" fillId="76" borderId="0" applyNumberFormat="0" applyFont="0" applyBorder="0" applyAlignment="0" applyProtection="0"/>
    <xf numFmtId="334" fontId="13" fillId="31" borderId="0" applyNumberFormat="0" applyFont="0" applyBorder="0" applyAlignment="0" applyProtection="0"/>
    <xf numFmtId="334" fontId="13" fillId="36" borderId="0" applyNumberFormat="0" applyFont="0" applyBorder="0" applyAlignment="0" applyProtection="0"/>
    <xf numFmtId="334" fontId="13" fillId="38" borderId="0" applyNumberFormat="0" applyFont="0" applyBorder="0" applyAlignment="0" applyProtection="0"/>
    <xf numFmtId="334" fontId="13" fillId="77" borderId="0" applyNumberFormat="0" applyFont="0" applyBorder="0" applyAlignment="0" applyProtection="0"/>
    <xf numFmtId="314" fontId="47" fillId="0" borderId="0" applyFont="0" applyFill="0" applyBorder="0" applyAlignment="0" applyProtection="0">
      <alignment horizontal="right"/>
    </xf>
    <xf numFmtId="1" fontId="68" fillId="0" borderId="0" applyFont="0" applyFill="0" applyBorder="0" applyProtection="0">
      <alignment horizontal="center"/>
    </xf>
    <xf numFmtId="322" fontId="186" fillId="54" borderId="117"/>
    <xf numFmtId="322" fontId="186" fillId="51" borderId="118"/>
    <xf numFmtId="323" fontId="184" fillId="0" borderId="0">
      <protection locked="0"/>
    </xf>
    <xf numFmtId="334" fontId="202" fillId="0" borderId="0">
      <protection locked="0"/>
    </xf>
    <xf numFmtId="334" fontId="202" fillId="0" borderId="0">
      <protection locked="0"/>
    </xf>
    <xf numFmtId="334" fontId="184" fillId="0" borderId="0"/>
    <xf numFmtId="334" fontId="13" fillId="0" borderId="85">
      <alignment horizontal="right" vertical="center" shrinkToFit="1"/>
    </xf>
    <xf numFmtId="334" fontId="203" fillId="0" borderId="85" applyNumberFormat="0" applyBorder="0">
      <alignment vertical="center"/>
    </xf>
    <xf numFmtId="334" fontId="104" fillId="0" borderId="0">
      <protection locked="0"/>
    </xf>
    <xf numFmtId="334" fontId="104" fillId="0" borderId="0">
      <protection locked="0"/>
    </xf>
    <xf numFmtId="334" fontId="195" fillId="0" borderId="0" applyNumberFormat="0" applyFill="0" applyBorder="0" applyAlignment="0" applyProtection="0">
      <alignment vertical="top"/>
      <protection locked="0"/>
    </xf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40" fontId="204" fillId="0" borderId="0" applyFont="0" applyFill="0" applyBorder="0" applyAlignment="0" applyProtection="0"/>
    <xf numFmtId="38" fontId="204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13" fillId="0" borderId="0" applyFont="0" applyFill="0" applyBorder="0" applyAlignment="0" applyProtection="0"/>
    <xf numFmtId="334" fontId="48" fillId="0" borderId="0" applyFont="0" applyFill="0" applyBorder="0" applyAlignment="0" applyProtection="0"/>
    <xf numFmtId="324" fontId="48" fillId="0" borderId="0" applyFont="0" applyFill="0" applyBorder="0" applyAlignment="0" applyProtection="0"/>
    <xf numFmtId="334" fontId="184" fillId="0" borderId="0"/>
    <xf numFmtId="321" fontId="104" fillId="0" borderId="0">
      <protection locked="0"/>
    </xf>
    <xf numFmtId="325" fontId="205" fillId="0" borderId="85" applyFont="0" applyBorder="0" applyAlignment="0">
      <alignment horizontal="center" vertical="center"/>
    </xf>
    <xf numFmtId="334" fontId="206" fillId="0" borderId="0"/>
    <xf numFmtId="334" fontId="188" fillId="0" borderId="85">
      <alignment horizontal="distributed" vertical="distributed"/>
    </xf>
    <xf numFmtId="334" fontId="186" fillId="0" borderId="0" applyFont="0" applyFill="0" applyBorder="0" applyAlignment="0" applyProtection="0"/>
    <xf numFmtId="334" fontId="186" fillId="0" borderId="0" applyFont="0" applyFill="0" applyBorder="0" applyAlignment="0" applyProtection="0"/>
    <xf numFmtId="326" fontId="207" fillId="0" borderId="0">
      <alignment vertical="center"/>
    </xf>
    <xf numFmtId="334" fontId="208" fillId="0" borderId="119"/>
    <xf numFmtId="334" fontId="184" fillId="0" borderId="0" applyFont="0" applyFill="0" applyBorder="0" applyAlignment="0" applyProtection="0"/>
    <xf numFmtId="334" fontId="209" fillId="0" borderId="0">
      <alignment vertical="center"/>
    </xf>
    <xf numFmtId="4" fontId="210" fillId="0" borderId="0" applyFont="0" applyFill="0" applyBorder="0" applyAlignment="0" applyProtection="0"/>
    <xf numFmtId="3" fontId="210" fillId="0" borderId="0" applyFont="0" applyFill="0" applyBorder="0" applyAlignment="0" applyProtection="0"/>
    <xf numFmtId="322" fontId="186" fillId="51" borderId="0"/>
    <xf numFmtId="327" fontId="13" fillId="0" borderId="0" applyFill="0" applyBorder="0" applyProtection="0">
      <alignment vertical="center"/>
    </xf>
    <xf numFmtId="334" fontId="185" fillId="0" borderId="0"/>
    <xf numFmtId="334" fontId="13" fillId="0" borderId="0"/>
    <xf numFmtId="334" fontId="184" fillId="0" borderId="0"/>
    <xf numFmtId="334" fontId="185" fillId="0" borderId="0" applyFont="0" applyFill="0" applyBorder="0" applyAlignment="0" applyProtection="0"/>
    <xf numFmtId="43" fontId="47" fillId="0" borderId="0" applyProtection="0"/>
    <xf numFmtId="321" fontId="211" fillId="0" borderId="0">
      <protection locked="0"/>
    </xf>
    <xf numFmtId="334" fontId="184" fillId="0" borderId="0" applyFont="0" applyFill="0" applyBorder="0" applyAlignment="0" applyProtection="0"/>
    <xf numFmtId="321" fontId="211" fillId="0" borderId="0">
      <protection locked="0"/>
    </xf>
    <xf numFmtId="334" fontId="184" fillId="0" borderId="0" applyFont="0" applyFill="0" applyBorder="0" applyAlignment="0" applyProtection="0"/>
    <xf numFmtId="334" fontId="184" fillId="0" borderId="120">
      <alignment vertical="center"/>
    </xf>
    <xf numFmtId="334" fontId="184" fillId="0" borderId="0" applyFont="0" applyFill="0" applyBorder="0" applyAlignment="0" applyProtection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34" fontId="212" fillId="0" borderId="0"/>
    <xf numFmtId="321" fontId="211" fillId="0" borderId="0">
      <protection locked="0"/>
    </xf>
    <xf numFmtId="321" fontId="211" fillId="0" borderId="0">
      <protection locked="0"/>
    </xf>
    <xf numFmtId="9" fontId="210" fillId="0" borderId="0" applyFont="0" applyFill="0" applyBorder="0" applyAlignment="0" applyProtection="0"/>
    <xf numFmtId="321" fontId="211" fillId="0" borderId="0">
      <protection locked="0"/>
    </xf>
    <xf numFmtId="328" fontId="213" fillId="0" borderId="0" applyFill="0" applyBorder="0" applyProtection="0">
      <alignment vertical="center"/>
    </xf>
    <xf numFmtId="329" fontId="213" fillId="0" borderId="0" applyFill="0" applyBorder="0" applyProtection="0">
      <alignment vertical="center"/>
      <protection locked="0"/>
    </xf>
    <xf numFmtId="334" fontId="186" fillId="0" borderId="0">
      <alignment vertical="center"/>
    </xf>
    <xf numFmtId="334" fontId="186" fillId="71" borderId="97" applyNumberFormat="0"/>
    <xf numFmtId="334" fontId="104" fillId="0" borderId="121">
      <protection locked="0"/>
    </xf>
    <xf numFmtId="330" fontId="210" fillId="0" borderId="0" applyFont="0" applyFill="0" applyBorder="0" applyAlignment="0" applyProtection="0"/>
    <xf numFmtId="330" fontId="210" fillId="0" borderId="0" applyFont="0" applyFill="0" applyBorder="0" applyAlignment="0" applyProtection="0"/>
    <xf numFmtId="334" fontId="174" fillId="0" borderId="0"/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334" fontId="175" fillId="0" borderId="0"/>
    <xf numFmtId="334" fontId="185" fillId="0" borderId="0" applyFont="0" applyFill="0" applyBorder="0" applyAlignment="0" applyProtection="0"/>
    <xf numFmtId="334" fontId="185" fillId="0" borderId="0" applyFont="0" applyFill="0" applyBorder="0" applyAlignment="0" applyProtection="0"/>
    <xf numFmtId="315" fontId="175" fillId="0" borderId="0" applyFont="0" applyFill="0" applyBorder="0" applyAlignment="0" applyProtection="0"/>
    <xf numFmtId="316" fontId="175" fillId="0" borderId="0" applyFont="0" applyFill="0" applyBorder="0" applyAlignment="0" applyProtection="0"/>
    <xf numFmtId="334" fontId="176" fillId="0" borderId="0" applyNumberFormat="0" applyFill="0" applyBorder="0" applyAlignment="0" applyProtection="0"/>
    <xf numFmtId="10" fontId="13" fillId="0" borderId="0" applyFont="0" applyFill="0" applyProtection="0"/>
    <xf numFmtId="0" fontId="13" fillId="0" borderId="0"/>
    <xf numFmtId="0" fontId="177" fillId="50" borderId="0" applyAlignment="0"/>
    <xf numFmtId="0" fontId="149" fillId="0" borderId="0" applyAlignment="0"/>
    <xf numFmtId="44" fontId="41" fillId="0" borderId="0" applyFont="0" applyFill="0" applyBorder="0" applyAlignment="0" applyProtection="0"/>
    <xf numFmtId="339" fontId="22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6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2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4" fontId="107" fillId="0" borderId="95">
      <alignment horizontal="left" vertical="center"/>
    </xf>
    <xf numFmtId="339" fontId="107" fillId="0" borderId="95">
      <alignment horizontal="left" vertical="center"/>
    </xf>
    <xf numFmtId="339" fontId="107" fillId="0" borderId="95">
      <alignment horizontal="left" vertical="center"/>
    </xf>
    <xf numFmtId="339" fontId="107" fillId="0" borderId="95">
      <alignment horizontal="left" vertical="center"/>
    </xf>
    <xf numFmtId="339" fontId="107" fillId="0" borderId="95">
      <alignment horizontal="left" vertical="center"/>
    </xf>
    <xf numFmtId="339" fontId="107" fillId="0" borderId="95">
      <alignment horizontal="left" vertical="center"/>
    </xf>
    <xf numFmtId="0" fontId="107" fillId="0" borderId="95">
      <alignment horizontal="left" vertical="center"/>
    </xf>
    <xf numFmtId="0" fontId="107" fillId="0" borderId="95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33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40" fontId="222" fillId="0" borderId="0"/>
    <xf numFmtId="0" fontId="236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7" fontId="222" fillId="0" borderId="0"/>
    <xf numFmtId="334" fontId="1" fillId="0" borderId="0"/>
    <xf numFmtId="334" fontId="1" fillId="0" borderId="0"/>
    <xf numFmtId="334" fontId="1" fillId="0" borderId="0"/>
    <xf numFmtId="33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1" fillId="0" borderId="0"/>
    <xf numFmtId="0" fontId="13" fillId="0" borderId="0"/>
    <xf numFmtId="43" fontId="13" fillId="0" borderId="0" applyFont="0" applyFill="0" applyBorder="0" applyAlignment="0" applyProtection="0"/>
    <xf numFmtId="238" fontId="45" fillId="0" borderId="0"/>
    <xf numFmtId="40" fontId="48" fillId="0" borderId="0" applyFont="0" applyFill="0" applyBorder="0" applyAlignment="0" applyProtection="0"/>
    <xf numFmtId="0" fontId="13" fillId="0" borderId="0"/>
    <xf numFmtId="8" fontId="238" fillId="0" borderId="0" applyFont="0" applyFill="0" applyBorder="0" applyAlignment="0" applyProtection="0"/>
    <xf numFmtId="341" fontId="130" fillId="0" borderId="0"/>
    <xf numFmtId="341" fontId="130" fillId="0" borderId="0"/>
    <xf numFmtId="5" fontId="238" fillId="0" borderId="0" applyFont="0" applyFill="0" applyBorder="0" applyAlignment="0" applyProtection="0"/>
    <xf numFmtId="5" fontId="238" fillId="0" borderId="0" applyFont="0" applyFill="0" applyBorder="0" applyAlignment="0" applyProtection="0"/>
    <xf numFmtId="341" fontId="130" fillId="0" borderId="0"/>
    <xf numFmtId="341" fontId="130" fillId="0" borderId="0"/>
    <xf numFmtId="5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341" fontId="130" fillId="0" borderId="0"/>
    <xf numFmtId="7" fontId="239" fillId="0" borderId="0">
      <alignment horizontal="center"/>
    </xf>
    <xf numFmtId="9" fontId="238" fillId="0" borderId="0" applyFont="0" applyFill="0" applyBorder="0" applyAlignment="0" applyProtection="0"/>
    <xf numFmtId="10" fontId="238" fillId="0" borderId="0" applyFont="0" applyFill="0" applyBorder="0" applyAlignment="0" applyProtection="0"/>
    <xf numFmtId="233" fontId="130" fillId="0" borderId="0" applyBorder="0" applyAlignment="0"/>
    <xf numFmtId="37" fontId="13" fillId="0" borderId="0" applyFont="0" applyFill="0" applyBorder="0" applyAlignment="0" applyProtection="0"/>
    <xf numFmtId="0" fontId="50" fillId="0" borderId="0" applyFont="0" applyAlignment="0">
      <alignment horizontal="center" vertical="center"/>
    </xf>
    <xf numFmtId="342" fontId="237" fillId="0" borderId="0"/>
    <xf numFmtId="234" fontId="130" fillId="0" borderId="0"/>
    <xf numFmtId="234" fontId="130" fillId="0" borderId="0"/>
    <xf numFmtId="234" fontId="130" fillId="0" borderId="0"/>
    <xf numFmtId="234" fontId="130" fillId="0" borderId="0"/>
    <xf numFmtId="343" fontId="130" fillId="0" borderId="0"/>
    <xf numFmtId="343" fontId="130" fillId="0" borderId="0"/>
    <xf numFmtId="234" fontId="130" fillId="0" borderId="0"/>
    <xf numFmtId="234" fontId="130" fillId="0" borderId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5" fontId="130" fillId="0" borderId="0" applyFont="0" applyFill="0" applyBorder="0" applyAlignment="0" applyProtection="0"/>
    <xf numFmtId="345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44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338" fontId="13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240" fillId="0" borderId="0"/>
    <xf numFmtId="346" fontId="241" fillId="0" borderId="0">
      <alignment horizontal="left"/>
    </xf>
    <xf numFmtId="347" fontId="242" fillId="0" borderId="0">
      <alignment horizontal="left"/>
    </xf>
    <xf numFmtId="49" fontId="243" fillId="0" borderId="122" applyFill="0" applyBorder="0">
      <alignment horizontal="center"/>
    </xf>
    <xf numFmtId="9" fontId="244" fillId="0" borderId="0" applyFont="0" applyFill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17" fillId="2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5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17" fillId="24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7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17" fillId="25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0" fontId="245" fillId="58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0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17" fillId="26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0" fontId="245" fillId="53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2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17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0" fontId="245" fillId="27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4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17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17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17" fillId="29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6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17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0" fontId="245" fillId="30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8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17" fillId="31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0" fontId="245" fillId="20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1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17" fillId="2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0" fontId="245" fillId="46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3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17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0" fontId="245" fillId="29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5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17" fillId="32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0" fontId="245" fillId="2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339" fontId="1" fillId="18" borderId="0" applyNumberFormat="0" applyBorder="0" applyAlignment="0" applyProtection="0"/>
    <xf numFmtId="0" fontId="218" fillId="33" borderId="0" applyNumberFormat="0" applyBorder="0" applyAlignment="0" applyProtection="0"/>
    <xf numFmtId="0" fontId="218" fillId="33" borderId="0" applyNumberFormat="0" applyBorder="0" applyAlignment="0" applyProtection="0"/>
    <xf numFmtId="0" fontId="218" fillId="30" borderId="0" applyNumberFormat="0" applyBorder="0" applyAlignment="0" applyProtection="0"/>
    <xf numFmtId="0" fontId="218" fillId="30" borderId="0" applyNumberFormat="0" applyBorder="0" applyAlignment="0" applyProtection="0"/>
    <xf numFmtId="0" fontId="218" fillId="31" borderId="0" applyNumberFormat="0" applyBorder="0" applyAlignment="0" applyProtection="0"/>
    <xf numFmtId="0" fontId="218" fillId="31" borderId="0" applyNumberFormat="0" applyBorder="0" applyAlignment="0" applyProtection="0"/>
    <xf numFmtId="0" fontId="218" fillId="34" borderId="0" applyNumberFormat="0" applyBorder="0" applyAlignment="0" applyProtection="0"/>
    <xf numFmtId="0" fontId="218" fillId="34" borderId="0" applyNumberFormat="0" applyBorder="0" applyAlignment="0" applyProtection="0"/>
    <xf numFmtId="0" fontId="218" fillId="35" borderId="0" applyNumberFormat="0" applyBorder="0" applyAlignment="0" applyProtection="0"/>
    <xf numFmtId="0" fontId="218" fillId="35" borderId="0" applyNumberFormat="0" applyBorder="0" applyAlignment="0" applyProtection="0"/>
    <xf numFmtId="0" fontId="218" fillId="36" borderId="0" applyNumberFormat="0" applyBorder="0" applyAlignment="0" applyProtection="0"/>
    <xf numFmtId="0" fontId="218" fillId="36" borderId="0" applyNumberFormat="0" applyBorder="0" applyAlignment="0" applyProtection="0"/>
    <xf numFmtId="0" fontId="218" fillId="37" borderId="0" applyNumberFormat="0" applyBorder="0" applyAlignment="0" applyProtection="0"/>
    <xf numFmtId="0" fontId="218" fillId="37" borderId="0" applyNumberFormat="0" applyBorder="0" applyAlignment="0" applyProtection="0"/>
    <xf numFmtId="0" fontId="218" fillId="38" borderId="0" applyNumberFormat="0" applyBorder="0" applyAlignment="0" applyProtection="0"/>
    <xf numFmtId="0" fontId="218" fillId="38" borderId="0" applyNumberFormat="0" applyBorder="0" applyAlignment="0" applyProtection="0"/>
    <xf numFmtId="0" fontId="218" fillId="39" borderId="0" applyNumberFormat="0" applyBorder="0" applyAlignment="0" applyProtection="0"/>
    <xf numFmtId="0" fontId="218" fillId="39" borderId="0" applyNumberFormat="0" applyBorder="0" applyAlignment="0" applyProtection="0"/>
    <xf numFmtId="0" fontId="218" fillId="34" borderId="0" applyNumberFormat="0" applyBorder="0" applyAlignment="0" applyProtection="0"/>
    <xf numFmtId="0" fontId="218" fillId="34" borderId="0" applyNumberFormat="0" applyBorder="0" applyAlignment="0" applyProtection="0"/>
    <xf numFmtId="0" fontId="218" fillId="35" borderId="0" applyNumberFormat="0" applyBorder="0" applyAlignment="0" applyProtection="0"/>
    <xf numFmtId="0" fontId="218" fillId="35" borderId="0" applyNumberFormat="0" applyBorder="0" applyAlignment="0" applyProtection="0"/>
    <xf numFmtId="0" fontId="218" fillId="40" borderId="0" applyNumberFormat="0" applyBorder="0" applyAlignment="0" applyProtection="0"/>
    <xf numFmtId="0" fontId="218" fillId="40" borderId="0" applyNumberFormat="0" applyBorder="0" applyAlignment="0" applyProtection="0"/>
    <xf numFmtId="0" fontId="246" fillId="0" borderId="0" applyNumberFormat="0" applyFont="0" applyFill="0" applyBorder="0" applyProtection="0">
      <alignment horizontal="centerContinuous"/>
    </xf>
    <xf numFmtId="331" fontId="244" fillId="0" borderId="0" applyFont="0" applyFill="0" applyBorder="0" applyAlignment="0" applyProtection="0"/>
    <xf numFmtId="332" fontId="244" fillId="0" borderId="0" applyFont="0" applyFill="0" applyBorder="0" applyAlignment="0" applyProtection="0"/>
    <xf numFmtId="0" fontId="37" fillId="0" borderId="0">
      <alignment vertical="center"/>
    </xf>
    <xf numFmtId="249" fontId="244" fillId="0" borderId="0" applyFont="0" applyFill="0" applyBorder="0" applyAlignment="0" applyProtection="0"/>
    <xf numFmtId="250" fontId="244" fillId="0" borderId="0" applyFont="0" applyFill="0" applyBorder="0" applyAlignment="0" applyProtection="0"/>
    <xf numFmtId="0" fontId="219" fillId="24" borderId="0" applyNumberFormat="0" applyBorder="0" applyAlignment="0" applyProtection="0"/>
    <xf numFmtId="0" fontId="219" fillId="24" borderId="0" applyNumberFormat="0" applyBorder="0" applyAlignment="0" applyProtection="0"/>
    <xf numFmtId="348" fontId="238" fillId="0" borderId="0" applyFont="0" applyFill="0" applyBorder="0" applyAlignment="0" applyProtection="0">
      <alignment horizontal="right"/>
    </xf>
    <xf numFmtId="0" fontId="247" fillId="0" borderId="0" applyNumberFormat="0" applyFill="0" applyBorder="0" applyAlignment="0" applyProtection="0"/>
    <xf numFmtId="0" fontId="248" fillId="79" borderId="123" applyFill="0" applyBorder="0">
      <alignment horizontal="left"/>
    </xf>
    <xf numFmtId="0" fontId="238" fillId="0" borderId="83" applyNumberFormat="0" applyFont="0" applyFill="0" applyAlignment="0" applyProtection="0"/>
    <xf numFmtId="0" fontId="238" fillId="0" borderId="92" applyNumberFormat="0" applyFont="0" applyFill="0" applyAlignment="0" applyProtection="0"/>
    <xf numFmtId="0" fontId="238" fillId="0" borderId="101" applyNumberFormat="0" applyFont="0" applyFill="0" applyAlignment="0" applyProtection="0"/>
    <xf numFmtId="0" fontId="238" fillId="0" borderId="79" applyNumberFormat="0" applyFont="0" applyFill="0" applyAlignment="0" applyProtection="0"/>
    <xf numFmtId="0" fontId="246" fillId="0" borderId="83" applyNumberFormat="0" applyFont="0" applyFill="0" applyAlignment="0" applyProtection="0"/>
    <xf numFmtId="0" fontId="249" fillId="0" borderId="0"/>
    <xf numFmtId="0" fontId="220" fillId="46" borderId="84" applyNumberFormat="0" applyAlignment="0" applyProtection="0"/>
    <xf numFmtId="0" fontId="220" fillId="46" borderId="84" applyNumberFormat="0" applyAlignment="0" applyProtection="0"/>
    <xf numFmtId="0" fontId="246" fillId="0" borderId="0" applyNumberFormat="0" applyFont="0" applyFill="0" applyBorder="0" applyProtection="0">
      <alignment horizontal="center"/>
    </xf>
    <xf numFmtId="0" fontId="13" fillId="0" borderId="0">
      <alignment horizontal="center" wrapText="1"/>
    </xf>
    <xf numFmtId="0" fontId="221" fillId="49" borderId="86" applyNumberFormat="0" applyAlignment="0" applyProtection="0"/>
    <xf numFmtId="0" fontId="221" fillId="49" borderId="86" applyNumberFormat="0" applyAlignment="0" applyProtection="0"/>
    <xf numFmtId="0" fontId="250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57" fillId="0" borderId="0" applyNumberFormat="0" applyFill="0" applyBorder="0">
      <alignment horizontal="center" vertical="center"/>
    </xf>
    <xf numFmtId="0" fontId="252" fillId="0" borderId="72">
      <alignment horizontal="center"/>
    </xf>
    <xf numFmtId="349" fontId="253" fillId="0" borderId="0" applyFill="0" applyBorder="0">
      <alignment horizontal="right" vertical="center"/>
    </xf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350" fontId="13" fillId="0" borderId="0"/>
    <xf numFmtId="41" fontId="240" fillId="0" borderId="0" applyFont="0" applyFill="0" applyBorder="0" applyAlignment="0" applyProtection="0"/>
    <xf numFmtId="41" fontId="240" fillId="0" borderId="0" applyFont="0" applyFill="0" applyBorder="0" applyAlignment="0" applyProtection="0"/>
    <xf numFmtId="41" fontId="240" fillId="0" borderId="0" applyFont="0" applyFill="0" applyBorder="0" applyAlignment="0" applyProtection="0"/>
    <xf numFmtId="41" fontId="47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40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4" fillId="0" borderId="0"/>
    <xf numFmtId="0" fontId="91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3" fontId="13" fillId="0" borderId="0" applyFill="0" applyBorder="0" applyAlignment="0" applyProtection="0"/>
    <xf numFmtId="0" fontId="254" fillId="0" borderId="0"/>
    <xf numFmtId="38" fontId="13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3" fontId="255" fillId="22" borderId="0" applyFill="0"/>
    <xf numFmtId="3" fontId="256" fillId="0" borderId="0" applyFill="0" applyBorder="0">
      <alignment horizontal="right"/>
      <protection locked="0"/>
    </xf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240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217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4" fillId="0" borderId="0"/>
    <xf numFmtId="0" fontId="254" fillId="0" borderId="0"/>
    <xf numFmtId="0" fontId="254" fillId="0" borderId="0"/>
    <xf numFmtId="0" fontId="254" fillId="0" borderId="0"/>
    <xf numFmtId="0" fontId="254" fillId="0" borderId="0"/>
    <xf numFmtId="0" fontId="257" fillId="0" borderId="0">
      <alignment horizontal="centerContinuous" vertical="center"/>
    </xf>
    <xf numFmtId="9" fontId="13" fillId="0" borderId="0" applyFont="0" applyFill="0" applyBorder="0" applyAlignment="0" applyProtection="0"/>
    <xf numFmtId="0" fontId="41" fillId="0" borderId="0"/>
    <xf numFmtId="0" fontId="91" fillId="0" borderId="0"/>
    <xf numFmtId="0" fontId="91" fillId="0" borderId="97"/>
    <xf numFmtId="9" fontId="95" fillId="0" borderId="0">
      <alignment horizontal="right"/>
    </xf>
    <xf numFmtId="0" fontId="13" fillId="0" borderId="0"/>
    <xf numFmtId="5" fontId="238" fillId="0" borderId="0" applyFont="0" applyFill="0" applyBorder="0" applyAlignment="0" applyProtection="0"/>
    <xf numFmtId="278" fontId="13" fillId="0" borderId="0" applyFont="0" applyFill="0" applyBorder="0" applyAlignment="0" applyProtection="0">
      <protection locked="0"/>
    </xf>
    <xf numFmtId="285" fontId="13" fillId="0" borderId="0" applyFont="0" applyFill="0" applyBorder="0" applyAlignment="0" applyProtection="0"/>
    <xf numFmtId="9" fontId="47" fillId="0" borderId="0"/>
    <xf numFmtId="9" fontId="100" fillId="0" borderId="0"/>
    <xf numFmtId="0" fontId="100" fillId="0" borderId="0"/>
    <xf numFmtId="10" fontId="100" fillId="0" borderId="0"/>
    <xf numFmtId="43" fontId="246" fillId="0" borderId="0" applyFont="0" applyFill="0" applyBorder="0" applyAlignment="0" applyProtection="0"/>
    <xf numFmtId="0" fontId="258" fillId="22" borderId="0" applyBorder="0" applyAlignment="0"/>
    <xf numFmtId="251" fontId="13" fillId="0" borderId="0" applyFont="0" applyFill="0" applyBorder="0" applyAlignment="0" applyProtection="0"/>
    <xf numFmtId="0" fontId="259" fillId="0" borderId="0"/>
    <xf numFmtId="0" fontId="260" fillId="0" borderId="0"/>
    <xf numFmtId="0" fontId="48" fillId="0" borderId="0"/>
    <xf numFmtId="0" fontId="26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3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62" fillId="0" borderId="0"/>
    <xf numFmtId="38" fontId="48" fillId="0" borderId="0" applyFont="0" applyFill="0" applyBorder="0" applyAlignment="0" applyProtection="0"/>
    <xf numFmtId="314" fontId="13" fillId="0" borderId="0">
      <alignment horizontal="left" wrapText="1"/>
    </xf>
    <xf numFmtId="314" fontId="13" fillId="0" borderId="0">
      <alignment horizontal="left" wrapText="1"/>
    </xf>
    <xf numFmtId="0" fontId="262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/>
    <xf numFmtId="0" fontId="254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338" fontId="13" fillId="0" borderId="0">
      <alignment horizontal="left" wrapText="1"/>
    </xf>
    <xf numFmtId="311" fontId="41" fillId="0" borderId="0">
      <alignment horizontal="left" wrapText="1"/>
    </xf>
    <xf numFmtId="311" fontId="41" fillId="0" borderId="0">
      <alignment horizontal="left" wrapText="1"/>
    </xf>
    <xf numFmtId="338" fontId="13" fillId="0" borderId="0">
      <alignment horizontal="left" wrapText="1"/>
    </xf>
    <xf numFmtId="0" fontId="13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>
      <alignment horizontal="left" wrapText="1"/>
    </xf>
    <xf numFmtId="0" fontId="262" fillId="0" borderId="0"/>
    <xf numFmtId="0" fontId="262" fillId="0" borderId="0"/>
    <xf numFmtId="0" fontId="13" fillId="0" borderId="0"/>
    <xf numFmtId="314" fontId="13" fillId="0" borderId="0">
      <alignment horizontal="left" wrapText="1"/>
    </xf>
    <xf numFmtId="0" fontId="263" fillId="0" borderId="0"/>
    <xf numFmtId="0" fontId="13" fillId="22" borderId="0"/>
    <xf numFmtId="0" fontId="263" fillId="0" borderId="0"/>
    <xf numFmtId="0" fontId="264" fillId="45" borderId="0"/>
    <xf numFmtId="0" fontId="263" fillId="0" borderId="0"/>
    <xf numFmtId="0" fontId="265" fillId="65" borderId="0"/>
    <xf numFmtId="0" fontId="263" fillId="0" borderId="0"/>
    <xf numFmtId="0" fontId="266" fillId="80" borderId="0"/>
    <xf numFmtId="0" fontId="263" fillId="0" borderId="0"/>
    <xf numFmtId="0" fontId="267" fillId="0" borderId="0"/>
    <xf numFmtId="0" fontId="263" fillId="0" borderId="0"/>
    <xf numFmtId="0" fontId="50" fillId="0" borderId="0"/>
    <xf numFmtId="0" fontId="263" fillId="0" borderId="0"/>
    <xf numFmtId="0" fontId="68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62" fillId="0" borderId="0"/>
    <xf numFmtId="0" fontId="262" fillId="0" borderId="0"/>
    <xf numFmtId="0" fontId="13" fillId="0" borderId="0" applyNumberForma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29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4" fontId="4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8" fontId="29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0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302" fontId="13" fillId="0" borderId="0" applyFont="0" applyFill="0" applyBorder="0" applyAlignment="0" applyProtection="0"/>
    <xf numFmtId="14" fontId="47" fillId="0" borderId="0" applyFont="0" applyFill="0" applyBorder="0" applyAlignment="0" applyProtection="0"/>
    <xf numFmtId="302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29" fillId="0" borderId="0" applyFont="0" applyFill="0" applyBorder="0" applyAlignment="0" applyProtection="0"/>
    <xf numFmtId="0" fontId="13" fillId="0" borderId="0"/>
    <xf numFmtId="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29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7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268" fillId="41" borderId="124">
      <alignment horizontal="right"/>
    </xf>
    <xf numFmtId="0" fontId="13" fillId="51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312" fontId="41" fillId="0" borderId="0" applyFont="0" applyFill="0" applyBorder="0" applyAlignment="0" applyProtection="0"/>
    <xf numFmtId="312" fontId="41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62" fillId="0" borderId="0"/>
    <xf numFmtId="0" fontId="13" fillId="0" borderId="0" applyFont="0" applyFill="0" applyBorder="0" applyAlignment="0" applyProtection="0"/>
    <xf numFmtId="0" fontId="13" fillId="0" borderId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9" fillId="0" borderId="0" applyFont="0" applyFill="0" applyBorder="0" applyProtection="0">
      <alignment horizontal="right"/>
    </xf>
    <xf numFmtId="0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50" fillId="0" borderId="72" applyFont="0" applyFill="0" applyBorder="0" applyAlignment="0" applyProtection="0"/>
    <xf numFmtId="0" fontId="50" fillId="0" borderId="72" applyFont="0" applyFill="0" applyBorder="0" applyAlignment="0" applyProtection="0"/>
    <xf numFmtId="191" fontId="13" fillId="0" borderId="0" applyFont="0" applyFill="0" applyBorder="0" applyAlignment="0" applyProtection="0"/>
    <xf numFmtId="0" fontId="50" fillId="0" borderId="72" applyFont="0" applyFill="0" applyBorder="0" applyAlignment="0" applyProtection="0"/>
    <xf numFmtId="0" fontId="269" fillId="0" borderId="0" applyBorder="0">
      <alignment wrapText="1"/>
    </xf>
    <xf numFmtId="0" fontId="37" fillId="81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0" borderId="0" applyNumberFormat="0" applyFont="0" applyAlignment="0" applyProtection="0"/>
    <xf numFmtId="0" fontId="13" fillId="0" borderId="0"/>
    <xf numFmtId="0" fontId="13" fillId="0" borderId="0"/>
    <xf numFmtId="0" fontId="13" fillId="0" borderId="0"/>
    <xf numFmtId="307" fontId="13" fillId="0" borderId="0">
      <alignment horizontal="left" wrapText="1"/>
    </xf>
    <xf numFmtId="227" fontId="13" fillId="0" borderId="0">
      <alignment horizontal="left" wrapText="1"/>
    </xf>
    <xf numFmtId="307" fontId="13" fillId="0" borderId="0">
      <alignment horizontal="left" wrapText="1"/>
    </xf>
    <xf numFmtId="0" fontId="13" fillId="0" borderId="0">
      <alignment horizontal="left" wrapText="1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262" fillId="0" borderId="0"/>
    <xf numFmtId="0" fontId="13" fillId="0" borderId="0" applyFont="0" applyFill="0" applyBorder="0" applyAlignment="0" applyProtection="0"/>
    <xf numFmtId="314" fontId="13" fillId="0" borderId="0">
      <alignment horizontal="left" wrapText="1"/>
    </xf>
    <xf numFmtId="19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7" fontId="29" fillId="0" borderId="0" applyFont="0" applyFill="0" applyBorder="0" applyAlignment="0" applyProtection="0"/>
    <xf numFmtId="0" fontId="13" fillId="0" borderId="0"/>
    <xf numFmtId="19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89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30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313" fontId="41" fillId="0" borderId="0" applyFont="0" applyFill="0" applyBorder="0" applyAlignment="0" applyProtection="0"/>
    <xf numFmtId="194" fontId="13" fillId="0" borderId="0" applyFont="0" applyFill="0" applyBorder="0" applyAlignment="0" applyProtection="0"/>
    <xf numFmtId="196" fontId="13" fillId="0" borderId="0" applyFont="0" applyFill="0" applyBorder="0" applyProtection="0">
      <alignment horizontal="right"/>
    </xf>
    <xf numFmtId="196" fontId="13" fillId="0" borderId="0" applyFont="0" applyFill="0" applyBorder="0" applyProtection="0">
      <alignment horizontal="right"/>
    </xf>
    <xf numFmtId="194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29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301" fontId="13" fillId="0" borderId="0" applyFont="0" applyFill="0" applyBorder="0" applyAlignment="0" applyProtection="0"/>
    <xf numFmtId="0" fontId="47" fillId="0" borderId="0"/>
    <xf numFmtId="0" fontId="1" fillId="0" borderId="0"/>
    <xf numFmtId="43" fontId="1" fillId="0" borderId="0" applyFont="0" applyFill="0" applyBorder="0" applyAlignment="0" applyProtection="0"/>
    <xf numFmtId="0" fontId="42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43" fontId="47" fillId="0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339" fontId="13" fillId="22" borderId="0"/>
    <xf numFmtId="0" fontId="13" fillId="0" borderId="0"/>
    <xf numFmtId="0" fontId="149" fillId="0" borderId="0" applyAlignment="0"/>
    <xf numFmtId="0" fontId="177" fillId="50" borderId="0" applyAlignment="0"/>
    <xf numFmtId="0" fontId="270" fillId="0" borderId="0"/>
    <xf numFmtId="9" fontId="270" fillId="0" borderId="0" applyFont="0" applyFill="0" applyBorder="0" applyAlignment="0" applyProtection="0"/>
    <xf numFmtId="42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23" fillId="0" borderId="0"/>
    <xf numFmtId="42" fontId="13" fillId="0" borderId="0" applyFont="0" applyFill="0" applyBorder="0" applyAlignment="0" applyProtection="0"/>
    <xf numFmtId="0" fontId="216" fillId="0" borderId="0"/>
    <xf numFmtId="9" fontId="216" fillId="0" borderId="0" applyFont="0" applyFill="0" applyBorder="0" applyAlignment="0" applyProtection="0"/>
    <xf numFmtId="43" fontId="216" fillId="0" borderId="0" applyFont="0" applyFill="0" applyBorder="0" applyAlignment="0" applyProtection="0"/>
    <xf numFmtId="169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200" fontId="216" fillId="0" borderId="0" applyFont="0" applyFill="0" applyBorder="0" applyAlignment="0" applyProtection="0"/>
    <xf numFmtId="198" fontId="216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4" fontId="13" fillId="0" borderId="0" applyFont="0" applyFill="0" applyBorder="0" applyAlignment="0" applyProtection="0"/>
    <xf numFmtId="197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48" fillId="0" borderId="0" applyFont="0" applyFill="0" applyBorder="0" applyAlignment="0" applyProtection="0"/>
    <xf numFmtId="0" fontId="177" fillId="50" borderId="0" applyAlignment="0"/>
    <xf numFmtId="0" fontId="149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22" fillId="0" borderId="0"/>
    <xf numFmtId="0" fontId="47" fillId="0" borderId="0"/>
    <xf numFmtId="38" fontId="101" fillId="0" borderId="0" applyFont="0" applyFill="0" applyBorder="0" applyAlignment="0" applyProtection="0"/>
    <xf numFmtId="0" fontId="13" fillId="0" borderId="0"/>
    <xf numFmtId="37" fontId="123" fillId="0" borderId="0">
      <alignment horizontal="fill"/>
    </xf>
    <xf numFmtId="0" fontId="45" fillId="0" borderId="0">
      <alignment horizontal="right"/>
    </xf>
    <xf numFmtId="0" fontId="90" fillId="0" borderId="0"/>
    <xf numFmtId="320" fontId="1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3" fillId="0" borderId="0"/>
    <xf numFmtId="0" fontId="271" fillId="82" borderId="0" applyNumberFormat="0" applyBorder="0" applyAlignment="0" applyProtection="0"/>
    <xf numFmtId="0" fontId="271" fillId="36" borderId="0" applyNumberFormat="0" applyBorder="0" applyAlignment="0" applyProtection="0"/>
    <xf numFmtId="0" fontId="271" fillId="83" borderId="0" applyNumberFormat="0" applyBorder="0" applyAlignment="0" applyProtection="0"/>
    <xf numFmtId="0" fontId="271" fillId="53" borderId="0" applyNumberFormat="0" applyBorder="0" applyAlignment="0" applyProtection="0"/>
    <xf numFmtId="0" fontId="271" fillId="82" borderId="0" applyNumberFormat="0" applyBorder="0" applyAlignment="0" applyProtection="0"/>
    <xf numFmtId="0" fontId="271" fillId="58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3" borderId="0" applyNumberFormat="0" applyBorder="0" applyAlignment="0" applyProtection="0"/>
    <xf numFmtId="0" fontId="217" fillId="24" borderId="0" applyNumberFormat="0" applyBorder="0" applyAlignment="0" applyProtection="0"/>
    <xf numFmtId="0" fontId="217" fillId="25" borderId="0" applyNumberFormat="0" applyBorder="0" applyAlignment="0" applyProtection="0"/>
    <xf numFmtId="0" fontId="217" fillId="26" borderId="0" applyNumberFormat="0" applyBorder="0" applyAlignment="0" applyProtection="0"/>
    <xf numFmtId="0" fontId="217" fillId="27" borderId="0" applyNumberFormat="0" applyBorder="0" applyAlignment="0" applyProtection="0"/>
    <xf numFmtId="0" fontId="217" fillId="28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3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4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5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7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17" fillId="28" borderId="0" applyNumberFormat="0" applyBorder="0" applyAlignment="0" applyProtection="0"/>
    <xf numFmtId="0" fontId="272" fillId="23" borderId="0" applyNumberFormat="0" applyBorder="0" applyAlignment="0" applyProtection="0">
      <alignment vertical="center"/>
    </xf>
    <xf numFmtId="0" fontId="272" fillId="23" borderId="0" applyNumberFormat="0" applyBorder="0" applyAlignment="0" applyProtection="0">
      <alignment vertical="center"/>
    </xf>
    <xf numFmtId="0" fontId="272" fillId="24" borderId="0" applyNumberFormat="0" applyBorder="0" applyAlignment="0" applyProtection="0">
      <alignment vertical="center"/>
    </xf>
    <xf numFmtId="0" fontId="272" fillId="24" borderId="0" applyNumberFormat="0" applyBorder="0" applyAlignment="0" applyProtection="0">
      <alignment vertical="center"/>
    </xf>
    <xf numFmtId="0" fontId="272" fillId="25" borderId="0" applyNumberFormat="0" applyBorder="0" applyAlignment="0" applyProtection="0">
      <alignment vertical="center"/>
    </xf>
    <xf numFmtId="0" fontId="272" fillId="25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14" borderId="0" applyNumberFormat="0" applyBorder="0" applyAlignment="0" applyProtection="0">
      <alignment vertical="center"/>
    </xf>
    <xf numFmtId="0" fontId="272" fillId="14" borderId="0" applyNumberFormat="0" applyBorder="0" applyAlignment="0" applyProtection="0">
      <alignment vertical="center"/>
    </xf>
    <xf numFmtId="0" fontId="272" fillId="17" borderId="0" applyNumberFormat="0" applyBorder="0" applyAlignment="0" applyProtection="0">
      <alignment vertical="center"/>
    </xf>
    <xf numFmtId="0" fontId="272" fillId="17" borderId="0" applyNumberFormat="0" applyBorder="0" applyAlignment="0" applyProtection="0">
      <alignment vertical="center"/>
    </xf>
    <xf numFmtId="0" fontId="271" fillId="82" borderId="0" applyNumberFormat="0" applyBorder="0" applyAlignment="0" applyProtection="0"/>
    <xf numFmtId="0" fontId="271" fillId="62" borderId="0" applyNumberFormat="0" applyBorder="0" applyAlignment="0" applyProtection="0"/>
    <xf numFmtId="0" fontId="271" fillId="83" borderId="0" applyNumberFormat="0" applyBorder="0" applyAlignment="0" applyProtection="0"/>
    <xf numFmtId="0" fontId="271" fillId="82" borderId="0" applyNumberFormat="0" applyBorder="0" applyAlignment="0" applyProtection="0"/>
    <xf numFmtId="0" fontId="271" fillId="82" borderId="0" applyNumberFormat="0" applyBorder="0" applyAlignment="0" applyProtection="0"/>
    <xf numFmtId="0" fontId="271" fillId="58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29" borderId="0" applyNumberFormat="0" applyBorder="0" applyAlignment="0" applyProtection="0"/>
    <xf numFmtId="0" fontId="217" fillId="30" borderId="0" applyNumberFormat="0" applyBorder="0" applyAlignment="0" applyProtection="0"/>
    <xf numFmtId="0" fontId="217" fillId="31" borderId="0" applyNumberFormat="0" applyBorder="0" applyAlignment="0" applyProtection="0"/>
    <xf numFmtId="0" fontId="217" fillId="26" borderId="0" applyNumberFormat="0" applyBorder="0" applyAlignment="0" applyProtection="0"/>
    <xf numFmtId="0" fontId="217" fillId="29" borderId="0" applyNumberFormat="0" applyBorder="0" applyAlignment="0" applyProtection="0"/>
    <xf numFmtId="0" fontId="217" fillId="32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0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31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6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29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17" fillId="32" borderId="0" applyNumberFormat="0" applyBorder="0" applyAlignment="0" applyProtection="0"/>
    <xf numFmtId="0" fontId="272" fillId="29" borderId="0" applyNumberFormat="0" applyBorder="0" applyAlignment="0" applyProtection="0">
      <alignment vertical="center"/>
    </xf>
    <xf numFmtId="0" fontId="272" fillId="29" borderId="0" applyNumberFormat="0" applyBorder="0" applyAlignment="0" applyProtection="0">
      <alignment vertical="center"/>
    </xf>
    <xf numFmtId="0" fontId="272" fillId="8" borderId="0" applyNumberFormat="0" applyBorder="0" applyAlignment="0" applyProtection="0">
      <alignment vertical="center"/>
    </xf>
    <xf numFmtId="0" fontId="272" fillId="8" borderId="0" applyNumberFormat="0" applyBorder="0" applyAlignment="0" applyProtection="0">
      <alignment vertical="center"/>
    </xf>
    <xf numFmtId="0" fontId="272" fillId="31" borderId="0" applyNumberFormat="0" applyBorder="0" applyAlignment="0" applyProtection="0">
      <alignment vertical="center"/>
    </xf>
    <xf numFmtId="0" fontId="272" fillId="31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26" borderId="0" applyNumberFormat="0" applyBorder="0" applyAlignment="0" applyProtection="0">
      <alignment vertical="center"/>
    </xf>
    <xf numFmtId="0" fontId="272" fillId="15" borderId="0" applyNumberFormat="0" applyBorder="0" applyAlignment="0" applyProtection="0">
      <alignment vertical="center"/>
    </xf>
    <xf numFmtId="0" fontId="272" fillId="15" borderId="0" applyNumberFormat="0" applyBorder="0" applyAlignment="0" applyProtection="0">
      <alignment vertical="center"/>
    </xf>
    <xf numFmtId="0" fontId="272" fillId="32" borderId="0" applyNumberFormat="0" applyBorder="0" applyAlignment="0" applyProtection="0">
      <alignment vertical="center"/>
    </xf>
    <xf numFmtId="0" fontId="272" fillId="32" borderId="0" applyNumberFormat="0" applyBorder="0" applyAlignment="0" applyProtection="0">
      <alignment vertical="center"/>
    </xf>
    <xf numFmtId="0" fontId="273" fillId="82" borderId="0" applyNumberFormat="0" applyBorder="0" applyAlignment="0" applyProtection="0"/>
    <xf numFmtId="0" fontId="273" fillId="83" borderId="0" applyNumberFormat="0" applyBorder="0" applyAlignment="0" applyProtection="0"/>
    <xf numFmtId="0" fontId="273" fillId="83" borderId="0" applyNumberFormat="0" applyBorder="0" applyAlignment="0" applyProtection="0"/>
    <xf numFmtId="0" fontId="273" fillId="82" borderId="0" applyNumberFormat="0" applyBorder="0" applyAlignment="0" applyProtection="0"/>
    <xf numFmtId="0" fontId="273" fillId="82" borderId="0" applyNumberFormat="0" applyBorder="0" applyAlignment="0" applyProtection="0"/>
    <xf numFmtId="0" fontId="273" fillId="30" borderId="0" applyNumberFormat="0" applyBorder="0" applyAlignment="0" applyProtection="0"/>
    <xf numFmtId="0" fontId="218" fillId="33" borderId="0" applyNumberFormat="0" applyBorder="0" applyAlignment="0" applyProtection="0"/>
    <xf numFmtId="0" fontId="218" fillId="30" borderId="0" applyNumberFormat="0" applyBorder="0" applyAlignment="0" applyProtection="0"/>
    <xf numFmtId="0" fontId="218" fillId="31" borderId="0" applyNumberFormat="0" applyBorder="0" applyAlignment="0" applyProtection="0"/>
    <xf numFmtId="0" fontId="218" fillId="34" borderId="0" applyNumberFormat="0" applyBorder="0" applyAlignment="0" applyProtection="0"/>
    <xf numFmtId="0" fontId="218" fillId="35" borderId="0" applyNumberFormat="0" applyBorder="0" applyAlignment="0" applyProtection="0"/>
    <xf numFmtId="0" fontId="218" fillId="36" borderId="0" applyNumberFormat="0" applyBorder="0" applyAlignment="0" applyProtection="0"/>
    <xf numFmtId="0" fontId="218" fillId="33" borderId="0" applyNumberFormat="0" applyBorder="0" applyAlignment="0" applyProtection="0"/>
    <xf numFmtId="0" fontId="218" fillId="33" borderId="0" applyNumberFormat="0" applyBorder="0" applyAlignment="0" applyProtection="0"/>
    <xf numFmtId="0" fontId="218" fillId="35" borderId="0" applyNumberFormat="0" applyBorder="0" applyAlignment="0" applyProtection="0"/>
    <xf numFmtId="0" fontId="218" fillId="30" borderId="0" applyNumberFormat="0" applyBorder="0" applyAlignment="0" applyProtection="0"/>
    <xf numFmtId="0" fontId="218" fillId="30" borderId="0" applyNumberFormat="0" applyBorder="0" applyAlignment="0" applyProtection="0"/>
    <xf numFmtId="0" fontId="218" fillId="31" borderId="0" applyNumberFormat="0" applyBorder="0" applyAlignment="0" applyProtection="0"/>
    <xf numFmtId="0" fontId="218" fillId="31" borderId="0" applyNumberFormat="0" applyBorder="0" applyAlignment="0" applyProtection="0"/>
    <xf numFmtId="0" fontId="218" fillId="20" borderId="0" applyNumberFormat="0" applyBorder="0" applyAlignment="0" applyProtection="0"/>
    <xf numFmtId="0" fontId="218" fillId="34" borderId="0" applyNumberFormat="0" applyBorder="0" applyAlignment="0" applyProtection="0"/>
    <xf numFmtId="0" fontId="218" fillId="34" borderId="0" applyNumberFormat="0" applyBorder="0" applyAlignment="0" applyProtection="0"/>
    <xf numFmtId="0" fontId="218" fillId="46" borderId="0" applyNumberFormat="0" applyBorder="0" applyAlignment="0" applyProtection="0"/>
    <xf numFmtId="0" fontId="218" fillId="35" borderId="0" applyNumberFormat="0" applyBorder="0" applyAlignment="0" applyProtection="0"/>
    <xf numFmtId="0" fontId="218" fillId="35" borderId="0" applyNumberFormat="0" applyBorder="0" applyAlignment="0" applyProtection="0"/>
    <xf numFmtId="0" fontId="218" fillId="36" borderId="0" applyNumberFormat="0" applyBorder="0" applyAlignment="0" applyProtection="0"/>
    <xf numFmtId="0" fontId="218" fillId="36" borderId="0" applyNumberFormat="0" applyBorder="0" applyAlignment="0" applyProtection="0"/>
    <xf numFmtId="0" fontId="218" fillId="28" borderId="0" applyNumberFormat="0" applyBorder="0" applyAlignment="0" applyProtection="0"/>
    <xf numFmtId="0" fontId="274" fillId="33" borderId="0" applyNumberFormat="0" applyBorder="0" applyAlignment="0" applyProtection="0">
      <alignment vertical="center"/>
    </xf>
    <xf numFmtId="0" fontId="274" fillId="33" borderId="0" applyNumberFormat="0" applyBorder="0" applyAlignment="0" applyProtection="0">
      <alignment vertical="center"/>
    </xf>
    <xf numFmtId="0" fontId="274" fillId="9" borderId="0" applyNumberFormat="0" applyBorder="0" applyAlignment="0" applyProtection="0">
      <alignment vertical="center"/>
    </xf>
    <xf numFmtId="0" fontId="274" fillId="9" borderId="0" applyNumberFormat="0" applyBorder="0" applyAlignment="0" applyProtection="0">
      <alignment vertical="center"/>
    </xf>
    <xf numFmtId="0" fontId="274" fillId="31" borderId="0" applyNumberFormat="0" applyBorder="0" applyAlignment="0" applyProtection="0">
      <alignment vertical="center"/>
    </xf>
    <xf numFmtId="0" fontId="274" fillId="31" borderId="0" applyNumberFormat="0" applyBorder="0" applyAlignment="0" applyProtection="0">
      <alignment vertical="center"/>
    </xf>
    <xf numFmtId="0" fontId="274" fillId="34" borderId="0" applyNumberFormat="0" applyBorder="0" applyAlignment="0" applyProtection="0">
      <alignment vertical="center"/>
    </xf>
    <xf numFmtId="0" fontId="274" fillId="34" borderId="0" applyNumberFormat="0" applyBorder="0" applyAlignment="0" applyProtection="0">
      <alignment vertical="center"/>
    </xf>
    <xf numFmtId="0" fontId="274" fillId="16" borderId="0" applyNumberFormat="0" applyBorder="0" applyAlignment="0" applyProtection="0">
      <alignment vertical="center"/>
    </xf>
    <xf numFmtId="0" fontId="274" fillId="16" borderId="0" applyNumberFormat="0" applyBorder="0" applyAlignment="0" applyProtection="0">
      <alignment vertical="center"/>
    </xf>
    <xf numFmtId="0" fontId="274" fillId="36" borderId="0" applyNumberFormat="0" applyBorder="0" applyAlignment="0" applyProtection="0">
      <alignment vertical="center"/>
    </xf>
    <xf numFmtId="0" fontId="274" fillId="36" borderId="0" applyNumberFormat="0" applyBorder="0" applyAlignment="0" applyProtection="0">
      <alignment vertical="center"/>
    </xf>
    <xf numFmtId="165" fontId="96" fillId="0" borderId="126" applyFont="0" applyFill="0">
      <alignment horizontal="left"/>
    </xf>
    <xf numFmtId="351" fontId="96" fillId="0" borderId="90" applyAlignment="0">
      <alignment horizontal="left"/>
    </xf>
    <xf numFmtId="352" fontId="275" fillId="67" borderId="127">
      <alignment horizontal="center" vertical="center"/>
    </xf>
    <xf numFmtId="352" fontId="275" fillId="67" borderId="127">
      <alignment horizontal="center" vertical="center"/>
    </xf>
    <xf numFmtId="352" fontId="275" fillId="67" borderId="127">
      <alignment horizontal="center" vertical="center"/>
    </xf>
    <xf numFmtId="352" fontId="275" fillId="67" borderId="127">
      <alignment horizontal="center" vertical="center"/>
    </xf>
    <xf numFmtId="352" fontId="275" fillId="67" borderId="127">
      <alignment horizontal="center" vertical="center"/>
    </xf>
    <xf numFmtId="352" fontId="275" fillId="67" borderId="127">
      <alignment horizontal="center" vertical="center"/>
    </xf>
    <xf numFmtId="0" fontId="2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7" fillId="0" borderId="0"/>
    <xf numFmtId="320" fontId="1" fillId="0" borderId="0" applyFont="0" applyFill="0" applyBorder="0" applyAlignment="0" applyProtection="0"/>
    <xf numFmtId="9" fontId="277" fillId="0" borderId="0" applyFont="0" applyFill="0" applyBorder="0" applyAlignment="0" applyProtection="0"/>
    <xf numFmtId="320" fontId="13" fillId="0" borderId="0" applyFont="0" applyFill="0" applyBorder="0" applyAlignment="0" applyProtection="0"/>
    <xf numFmtId="0" fontId="13" fillId="0" borderId="0"/>
    <xf numFmtId="0" fontId="1" fillId="0" borderId="0"/>
    <xf numFmtId="4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3" fillId="0" borderId="0">
      <alignment vertical="center"/>
    </xf>
    <xf numFmtId="10" fontId="13" fillId="0" borderId="0" applyNumberFormat="0" applyFont="0" applyBorder="0"/>
    <xf numFmtId="334" fontId="41" fillId="0" borderId="0"/>
    <xf numFmtId="0" fontId="13" fillId="0" borderId="0"/>
    <xf numFmtId="0" fontId="41" fillId="0" borderId="0"/>
    <xf numFmtId="9" fontId="41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/>
    <xf numFmtId="0" fontId="3" fillId="84" borderId="0" applyAlignment="0"/>
    <xf numFmtId="0" fontId="40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/>
    <xf numFmtId="43" fontId="223" fillId="0" borderId="0" applyFont="0" applyFill="0" applyBorder="0" applyAlignment="0" applyProtection="0"/>
    <xf numFmtId="9" fontId="223" fillId="0" borderId="0" applyFont="0" applyFill="0" applyBorder="0" applyAlignment="0" applyProtection="0"/>
    <xf numFmtId="353" fontId="71" fillId="0" borderId="0">
      <alignment horizontal="right"/>
    </xf>
    <xf numFmtId="0" fontId="13" fillId="0" borderId="0"/>
    <xf numFmtId="0" fontId="281" fillId="0" borderId="0"/>
    <xf numFmtId="0" fontId="281" fillId="0" borderId="0"/>
    <xf numFmtId="0" fontId="281" fillId="0" borderId="0"/>
    <xf numFmtId="0" fontId="47" fillId="0" borderId="0"/>
    <xf numFmtId="5" fontId="238" fillId="0" borderId="0" applyFont="0" applyFill="0" applyBorder="0" applyAlignment="0" applyProtection="0"/>
    <xf numFmtId="5" fontId="238" fillId="0" borderId="0" applyFont="0" applyFill="0" applyBorder="0" applyAlignment="0" applyProtection="0"/>
    <xf numFmtId="0" fontId="281" fillId="0" borderId="0"/>
    <xf numFmtId="354" fontId="13" fillId="0" borderId="0"/>
    <xf numFmtId="44" fontId="47" fillId="0" borderId="0" applyFont="0" applyFill="0" applyBorder="0" applyAlignment="0" applyProtection="0"/>
    <xf numFmtId="355" fontId="13" fillId="0" borderId="0" applyFont="0" applyFill="0" applyBorder="0" applyAlignment="0" applyProtection="0"/>
    <xf numFmtId="0" fontId="13" fillId="0" borderId="0"/>
    <xf numFmtId="355" fontId="282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38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38" fontId="13" fillId="0" borderId="0" applyFont="0" applyFill="0" applyBorder="0" applyAlignment="0" applyProtection="0">
      <alignment vertical="top"/>
    </xf>
    <xf numFmtId="3" fontId="13" fillId="0" borderId="0" applyNumberFormat="0" applyFill="0" applyBorder="0" applyAlignment="0" applyProtection="0"/>
    <xf numFmtId="3" fontId="13" fillId="0" borderId="0" applyNumberFormat="0" applyBorder="0" applyAlignment="0" applyProtection="0"/>
    <xf numFmtId="2" fontId="13" fillId="21" borderId="0">
      <alignment vertical="center"/>
      <protection locked="0"/>
    </xf>
    <xf numFmtId="2" fontId="13" fillId="21" borderId="0">
      <alignment vertical="center"/>
      <protection locked="0"/>
    </xf>
    <xf numFmtId="2" fontId="13" fillId="21" borderId="0">
      <alignment vertical="center"/>
      <protection locked="0"/>
    </xf>
    <xf numFmtId="17" fontId="283" fillId="0" borderId="0">
      <alignment horizontal="center"/>
    </xf>
    <xf numFmtId="0" fontId="13" fillId="0" borderId="0" applyNumberFormat="0" applyFont="0" applyFill="0" applyBorder="0" applyAlignment="0" applyProtection="0"/>
    <xf numFmtId="0" fontId="13" fillId="0" borderId="0"/>
    <xf numFmtId="9" fontId="47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7" fillId="0" borderId="0"/>
    <xf numFmtId="0" fontId="1" fillId="0" borderId="0"/>
    <xf numFmtId="43" fontId="47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278" fillId="0" borderId="0" applyFont="0" applyFill="0" applyBorder="0" applyAlignment="0" applyProtection="0"/>
    <xf numFmtId="334" fontId="41" fillId="0" borderId="0"/>
    <xf numFmtId="334" fontId="217" fillId="23" borderId="0" applyNumberFormat="0" applyBorder="0" applyAlignment="0" applyProtection="0"/>
    <xf numFmtId="334" fontId="217" fillId="24" borderId="0" applyNumberFormat="0" applyBorder="0" applyAlignment="0" applyProtection="0"/>
    <xf numFmtId="334" fontId="217" fillId="25" borderId="0" applyNumberFormat="0" applyBorder="0" applyAlignment="0" applyProtection="0"/>
    <xf numFmtId="334" fontId="217" fillId="26" borderId="0" applyNumberFormat="0" applyBorder="0" applyAlignment="0" applyProtection="0"/>
    <xf numFmtId="334" fontId="217" fillId="27" borderId="0" applyNumberFormat="0" applyBorder="0" applyAlignment="0" applyProtection="0"/>
    <xf numFmtId="334" fontId="217" fillId="28" borderId="0" applyNumberFormat="0" applyBorder="0" applyAlignment="0" applyProtection="0"/>
    <xf numFmtId="334" fontId="217" fillId="29" borderId="0" applyNumberFormat="0" applyBorder="0" applyAlignment="0" applyProtection="0"/>
    <xf numFmtId="334" fontId="217" fillId="30" borderId="0" applyNumberFormat="0" applyBorder="0" applyAlignment="0" applyProtection="0"/>
    <xf numFmtId="334" fontId="217" fillId="31" borderId="0" applyNumberFormat="0" applyBorder="0" applyAlignment="0" applyProtection="0"/>
    <xf numFmtId="334" fontId="217" fillId="26" borderId="0" applyNumberFormat="0" applyBorder="0" applyAlignment="0" applyProtection="0"/>
    <xf numFmtId="334" fontId="217" fillId="29" borderId="0" applyNumberFormat="0" applyBorder="0" applyAlignment="0" applyProtection="0"/>
    <xf numFmtId="334" fontId="217" fillId="32" borderId="0" applyNumberFormat="0" applyBorder="0" applyAlignment="0" applyProtection="0"/>
    <xf numFmtId="43" fontId="41" fillId="0" borderId="0" applyFont="0" applyFill="0" applyBorder="0" applyAlignment="0" applyProtection="0"/>
    <xf numFmtId="37" fontId="105" fillId="21" borderId="125" applyBorder="0">
      <alignment horizontal="left" vertical="center" indent="1"/>
    </xf>
    <xf numFmtId="38" fontId="95" fillId="0" borderId="0" applyNumberFormat="0" applyFill="0" applyBorder="0" applyAlignment="0">
      <protection locked="0"/>
    </xf>
    <xf numFmtId="334" fontId="230" fillId="46" borderId="128" applyNumberFormat="0" applyAlignment="0" applyProtection="0"/>
    <xf numFmtId="9" fontId="41" fillId="0" borderId="0" applyFont="0" applyFill="0" applyBorder="0" applyAlignment="0" applyProtection="0"/>
    <xf numFmtId="4" fontId="154" fillId="20" borderId="129" applyNumberFormat="0" applyProtection="0">
      <alignment vertical="center"/>
    </xf>
    <xf numFmtId="4" fontId="198" fillId="54" borderId="129" applyNumberFormat="0" applyProtection="0">
      <alignment vertical="center"/>
    </xf>
    <xf numFmtId="4" fontId="154" fillId="54" borderId="129" applyNumberFormat="0" applyProtection="0">
      <alignment horizontal="left" vertical="center" indent="1"/>
    </xf>
    <xf numFmtId="334" fontId="154" fillId="54" borderId="129" applyNumberFormat="0" applyProtection="0">
      <alignment horizontal="left" vertical="top" indent="1"/>
    </xf>
    <xf numFmtId="4" fontId="96" fillId="24" borderId="129" applyNumberFormat="0" applyProtection="0">
      <alignment horizontal="right" vertical="center"/>
    </xf>
    <xf numFmtId="4" fontId="96" fillId="30" borderId="129" applyNumberFormat="0" applyProtection="0">
      <alignment horizontal="right" vertical="center"/>
    </xf>
    <xf numFmtId="4" fontId="96" fillId="38" borderId="129" applyNumberFormat="0" applyProtection="0">
      <alignment horizontal="right" vertical="center"/>
    </xf>
    <xf numFmtId="4" fontId="96" fillId="32" borderId="129" applyNumberFormat="0" applyProtection="0">
      <alignment horizontal="right" vertical="center"/>
    </xf>
    <xf numFmtId="4" fontId="96" fillId="36" borderId="129" applyNumberFormat="0" applyProtection="0">
      <alignment horizontal="right" vertical="center"/>
    </xf>
    <xf numFmtId="4" fontId="96" fillId="40" borderId="129" applyNumberFormat="0" applyProtection="0">
      <alignment horizontal="right" vertical="center"/>
    </xf>
    <xf numFmtId="4" fontId="96" fillId="39" borderId="129" applyNumberFormat="0" applyProtection="0">
      <alignment horizontal="right" vertical="center"/>
    </xf>
    <xf numFmtId="4" fontId="96" fillId="62" borderId="129" applyNumberFormat="0" applyProtection="0">
      <alignment horizontal="right" vertical="center"/>
    </xf>
    <xf numFmtId="4" fontId="96" fillId="31" borderId="129" applyNumberFormat="0" applyProtection="0">
      <alignment horizontal="right" vertical="center"/>
    </xf>
    <xf numFmtId="4" fontId="96" fillId="66" borderId="129" applyNumberFormat="0" applyProtection="0">
      <alignment horizontal="right" vertical="center"/>
    </xf>
    <xf numFmtId="334" fontId="13" fillId="65" borderId="129" applyNumberFormat="0" applyProtection="0">
      <alignment horizontal="left" vertical="center" indent="1"/>
    </xf>
    <xf numFmtId="334" fontId="13" fillId="65" borderId="129" applyNumberFormat="0" applyProtection="0">
      <alignment horizontal="left" vertical="top" indent="1"/>
    </xf>
    <xf numFmtId="334" fontId="13" fillId="61" borderId="129" applyNumberFormat="0" applyProtection="0">
      <alignment horizontal="left" vertical="center" indent="1"/>
    </xf>
    <xf numFmtId="334" fontId="13" fillId="61" borderId="129" applyNumberFormat="0" applyProtection="0">
      <alignment horizontal="left" vertical="top" indent="1"/>
    </xf>
    <xf numFmtId="334" fontId="13" fillId="67" borderId="129" applyNumberFormat="0" applyProtection="0">
      <alignment horizontal="left" vertical="center" indent="1"/>
    </xf>
    <xf numFmtId="334" fontId="13" fillId="67" borderId="129" applyNumberFormat="0" applyProtection="0">
      <alignment horizontal="left" vertical="top" indent="1"/>
    </xf>
    <xf numFmtId="334" fontId="13" fillId="68" borderId="129" applyNumberFormat="0" applyProtection="0">
      <alignment horizontal="left" vertical="center" indent="1"/>
    </xf>
    <xf numFmtId="334" fontId="13" fillId="68" borderId="129" applyNumberFormat="0" applyProtection="0">
      <alignment horizontal="left" vertical="top" indent="1"/>
    </xf>
    <xf numFmtId="4" fontId="96" fillId="51" borderId="129" applyNumberFormat="0" applyProtection="0">
      <alignment vertical="center"/>
    </xf>
    <xf numFmtId="4" fontId="129" fillId="51" borderId="129" applyNumberFormat="0" applyProtection="0">
      <alignment vertical="center"/>
    </xf>
    <xf numFmtId="4" fontId="96" fillId="51" borderId="129" applyNumberFormat="0" applyProtection="0">
      <alignment horizontal="left" vertical="center" indent="1"/>
    </xf>
    <xf numFmtId="334" fontId="96" fillId="51" borderId="129" applyNumberFormat="0" applyProtection="0">
      <alignment horizontal="left" vertical="top" indent="1"/>
    </xf>
    <xf numFmtId="4" fontId="96" fillId="64" borderId="129" applyNumberFormat="0" applyProtection="0">
      <alignment horizontal="right" vertical="center"/>
    </xf>
    <xf numFmtId="4" fontId="129" fillId="64" borderId="129" applyNumberFormat="0" applyProtection="0">
      <alignment horizontal="right" vertical="center"/>
    </xf>
    <xf numFmtId="4" fontId="96" fillId="66" borderId="129" applyNumberFormat="0" applyProtection="0">
      <alignment horizontal="left" vertical="center" indent="1"/>
    </xf>
    <xf numFmtId="334" fontId="96" fillId="61" borderId="129" applyNumberFormat="0" applyProtection="0">
      <alignment horizontal="left" vertical="top" indent="1"/>
    </xf>
    <xf numFmtId="4" fontId="10" fillId="64" borderId="129" applyNumberFormat="0" applyProtection="0">
      <alignment horizontal="right" vertical="center"/>
    </xf>
    <xf numFmtId="334" fontId="101" fillId="0" borderId="130"/>
    <xf numFmtId="334" fontId="101" fillId="0" borderId="131"/>
    <xf numFmtId="334" fontId="101" fillId="0" borderId="132"/>
    <xf numFmtId="334" fontId="162" fillId="0" borderId="125" applyFill="0" applyBorder="0" applyProtection="0">
      <alignment horizontal="left" vertical="top"/>
    </xf>
    <xf numFmtId="334" fontId="167" fillId="74" borderId="0" applyBorder="0">
      <alignment horizontal="left" vertical="center" indent="1"/>
    </xf>
    <xf numFmtId="44" fontId="41" fillId="0" borderId="0" applyFont="0" applyFill="0" applyBorder="0" applyAlignment="0" applyProtection="0"/>
    <xf numFmtId="0" fontId="248" fillId="79" borderId="133" applyFill="0" applyBorder="0">
      <alignment horizontal="left"/>
    </xf>
    <xf numFmtId="0" fontId="238" fillId="0" borderId="125" applyNumberFormat="0" applyFont="0" applyFill="0" applyAlignment="0" applyProtection="0"/>
    <xf numFmtId="0" fontId="268" fillId="41" borderId="134">
      <alignment horizontal="right"/>
    </xf>
    <xf numFmtId="364" fontId="314" fillId="0" borderId="135">
      <alignment horizontal="left"/>
    </xf>
    <xf numFmtId="0" fontId="315" fillId="0" borderId="135">
      <alignment horizontal="right" wrapText="1"/>
    </xf>
  </cellStyleXfs>
  <cellXfs count="851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NumberFormat="1" applyFont="1"/>
    <xf numFmtId="0" fontId="10" fillId="0" borderId="0" xfId="0" applyFont="1"/>
    <xf numFmtId="0" fontId="14" fillId="0" borderId="0" xfId="0" applyFont="1"/>
    <xf numFmtId="0" fontId="11" fillId="0" borderId="0" xfId="0" applyFont="1" applyBorder="1" applyAlignment="1">
      <alignment horizontal="left" readingOrder="1"/>
    </xf>
    <xf numFmtId="0" fontId="11" fillId="0" borderId="0" xfId="0" applyFont="1" applyBorder="1" applyAlignment="1">
      <alignment horizontal="left" wrapText="1" readingOrder="1"/>
    </xf>
    <xf numFmtId="0" fontId="12" fillId="0" borderId="0" xfId="0" applyFont="1" applyBorder="1" applyAlignment="1">
      <alignment horizontal="right" wrapText="1" readingOrder="1"/>
    </xf>
    <xf numFmtId="14" fontId="12" fillId="0" borderId="0" xfId="0" applyNumberFormat="1" applyFont="1" applyBorder="1" applyAlignment="1">
      <alignment horizontal="right" wrapText="1" readingOrder="1"/>
    </xf>
    <xf numFmtId="0" fontId="13" fillId="0" borderId="0" xfId="0" applyFont="1" applyBorder="1" applyAlignment="1">
      <alignment horizontal="right" wrapText="1" readingOrder="1"/>
    </xf>
    <xf numFmtId="10" fontId="12" fillId="0" borderId="0" xfId="0" applyNumberFormat="1" applyFont="1" applyBorder="1" applyAlignment="1">
      <alignment horizontal="right" wrapText="1" readingOrder="1"/>
    </xf>
    <xf numFmtId="0" fontId="12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6" fillId="2" borderId="3" xfId="0" applyFont="1" applyFill="1" applyBorder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17" fillId="0" borderId="0" xfId="0" applyFont="1"/>
    <xf numFmtId="0" fontId="0" fillId="0" borderId="0" xfId="0" applyAlignment="1">
      <alignment horizontal="right"/>
    </xf>
    <xf numFmtId="0" fontId="11" fillId="0" borderId="9" xfId="0" applyFont="1" applyBorder="1" applyAlignment="1">
      <alignment horizontal="right" wrapText="1" readingOrder="1"/>
    </xf>
    <xf numFmtId="0" fontId="11" fillId="0" borderId="9" xfId="0" applyFont="1" applyBorder="1" applyAlignment="1">
      <alignment horizontal="left" wrapText="1" readingOrder="1"/>
    </xf>
    <xf numFmtId="0" fontId="11" fillId="0" borderId="9" xfId="0" applyFont="1" applyBorder="1" applyAlignment="1">
      <alignment horizontal="center" wrapText="1" readingOrder="1"/>
    </xf>
    <xf numFmtId="0" fontId="11" fillId="0" borderId="0" xfId="0" applyFont="1" applyBorder="1" applyAlignment="1">
      <alignment horizontal="center" wrapText="1" readingOrder="1"/>
    </xf>
    <xf numFmtId="0" fontId="11" fillId="0" borderId="9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16" fillId="2" borderId="9" xfId="0" applyFont="1" applyFill="1" applyBorder="1" applyAlignment="1">
      <alignment readingOrder="1"/>
    </xf>
    <xf numFmtId="0" fontId="4" fillId="0" borderId="9" xfId="0" applyFont="1" applyBorder="1"/>
    <xf numFmtId="0" fontId="16" fillId="2" borderId="12" xfId="0" applyFont="1" applyFill="1" applyBorder="1" applyAlignment="1">
      <alignment readingOrder="1"/>
    </xf>
    <xf numFmtId="0" fontId="16" fillId="2" borderId="12" xfId="0" applyFont="1" applyFill="1" applyBorder="1" applyAlignment="1">
      <alignment horizontal="right" vertical="center" readingOrder="1"/>
    </xf>
    <xf numFmtId="0" fontId="12" fillId="0" borderId="9" xfId="0" applyFont="1" applyBorder="1" applyAlignment="1">
      <alignment horizontal="right"/>
    </xf>
    <xf numFmtId="164" fontId="4" fillId="0" borderId="9" xfId="0" applyNumberFormat="1" applyFont="1" applyBorder="1"/>
    <xf numFmtId="164" fontId="12" fillId="0" borderId="9" xfId="0" applyNumberFormat="1" applyFont="1" applyBorder="1" applyAlignment="1">
      <alignment horizontal="right"/>
    </xf>
    <xf numFmtId="3" fontId="4" fillId="0" borderId="0" xfId="0" applyNumberFormat="1" applyFont="1"/>
    <xf numFmtId="0" fontId="23" fillId="0" borderId="0" xfId="0" applyFont="1"/>
    <xf numFmtId="164" fontId="4" fillId="0" borderId="0" xfId="1" applyNumberFormat="1" applyFont="1"/>
    <xf numFmtId="0" fontId="11" fillId="0" borderId="0" xfId="0" applyFont="1" applyBorder="1" applyAlignment="1">
      <alignment horizontal="right" readingOrder="1"/>
    </xf>
    <xf numFmtId="164" fontId="4" fillId="0" borderId="0" xfId="1" applyNumberFormat="1" applyFont="1" applyBorder="1"/>
    <xf numFmtId="3" fontId="11" fillId="0" borderId="9" xfId="0" applyNumberFormat="1" applyFont="1" applyBorder="1" applyAlignment="1">
      <alignment horizontal="right" wrapText="1" readingOrder="1"/>
    </xf>
    <xf numFmtId="0" fontId="11" fillId="0" borderId="0" xfId="0" applyFont="1" applyBorder="1" applyAlignment="1">
      <alignment readingOrder="1"/>
    </xf>
    <xf numFmtId="3" fontId="11" fillId="0" borderId="0" xfId="0" applyNumberFormat="1" applyFont="1" applyBorder="1" applyAlignment="1">
      <alignment horizontal="right" readingOrder="1"/>
    </xf>
    <xf numFmtId="164" fontId="14" fillId="0" borderId="0" xfId="0" applyNumberFormat="1" applyFont="1" applyBorder="1" applyAlignment="1">
      <alignment horizontal="right" readingOrder="1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right"/>
    </xf>
    <xf numFmtId="10" fontId="19" fillId="0" borderId="0" xfId="0" applyNumberFormat="1" applyFont="1" applyFill="1" applyBorder="1" applyAlignment="1">
      <alignment horizontal="right" wrapText="1" readingOrder="1"/>
    </xf>
    <xf numFmtId="164" fontId="4" fillId="0" borderId="0" xfId="0" applyNumberFormat="1" applyFont="1" applyBorder="1"/>
    <xf numFmtId="0" fontId="27" fillId="0" borderId="0" xfId="0" applyFont="1"/>
    <xf numFmtId="0" fontId="27" fillId="0" borderId="0" xfId="0" applyFont="1" applyAlignment="1"/>
    <xf numFmtId="0" fontId="28" fillId="0" borderId="0" xfId="0" applyFont="1"/>
    <xf numFmtId="0" fontId="4" fillId="0" borderId="20" xfId="0" applyFont="1" applyBorder="1"/>
    <xf numFmtId="0" fontId="16" fillId="2" borderId="23" xfId="0" applyFont="1" applyFill="1" applyBorder="1" applyAlignment="1">
      <alignment readingOrder="1"/>
    </xf>
    <xf numFmtId="0" fontId="16" fillId="2" borderId="23" xfId="0" applyFont="1" applyFill="1" applyBorder="1" applyAlignment="1">
      <alignment horizontal="right" vertical="center" readingOrder="1"/>
    </xf>
    <xf numFmtId="0" fontId="11" fillId="0" borderId="24" xfId="0" applyFont="1" applyBorder="1" applyAlignment="1">
      <alignment horizontal="right" readingOrder="1"/>
    </xf>
    <xf numFmtId="3" fontId="19" fillId="0" borderId="0" xfId="0" applyNumberFormat="1" applyFont="1" applyBorder="1" applyAlignment="1">
      <alignment horizontal="right" readingOrder="1"/>
    </xf>
    <xf numFmtId="165" fontId="11" fillId="0" borderId="0" xfId="0" applyNumberFormat="1" applyFont="1" applyBorder="1" applyAlignment="1">
      <alignment horizontal="right" readingOrder="1"/>
    </xf>
    <xf numFmtId="0" fontId="19" fillId="0" borderId="0" xfId="0" applyFont="1" applyBorder="1" applyAlignment="1">
      <alignment horizontal="left" readingOrder="1"/>
    </xf>
    <xf numFmtId="0" fontId="24" fillId="0" borderId="0" xfId="0" applyFont="1" applyBorder="1" applyAlignment="1">
      <alignment horizontal="left" readingOrder="1"/>
    </xf>
    <xf numFmtId="0" fontId="4" fillId="0" borderId="26" xfId="0" applyFont="1" applyBorder="1"/>
    <xf numFmtId="0" fontId="4" fillId="0" borderId="27" xfId="0" applyFont="1" applyBorder="1"/>
    <xf numFmtId="10" fontId="22" fillId="0" borderId="0" xfId="0" applyNumberFormat="1" applyFont="1" applyBorder="1" applyAlignment="1">
      <alignment horizontal="right" readingOrder="1"/>
    </xf>
    <xf numFmtId="164" fontId="22" fillId="0" borderId="0" xfId="0" applyNumberFormat="1" applyFont="1" applyBorder="1" applyAlignment="1">
      <alignment horizontal="right" readingOrder="1"/>
    </xf>
    <xf numFmtId="0" fontId="23" fillId="0" borderId="0" xfId="0" applyFont="1" applyBorder="1"/>
    <xf numFmtId="164" fontId="0" fillId="0" borderId="0" xfId="1" applyNumberFormat="1" applyFont="1"/>
    <xf numFmtId="0" fontId="0" fillId="0" borderId="0" xfId="0" applyFill="1" applyBorder="1"/>
    <xf numFmtId="2" fontId="12" fillId="0" borderId="0" xfId="0" applyNumberFormat="1" applyFont="1" applyFill="1" applyBorder="1"/>
    <xf numFmtId="164" fontId="12" fillId="0" borderId="0" xfId="0" applyNumberFormat="1" applyFont="1" applyFill="1" applyBorder="1"/>
    <xf numFmtId="0" fontId="24" fillId="0" borderId="0" xfId="0" applyFont="1" applyFill="1" applyBorder="1" applyAlignment="1">
      <alignment readingOrder="1"/>
    </xf>
    <xf numFmtId="0" fontId="24" fillId="0" borderId="0" xfId="0" applyFont="1" applyFill="1" applyBorder="1" applyAlignment="1">
      <alignment horizontal="right" readingOrder="1"/>
    </xf>
    <xf numFmtId="0" fontId="12" fillId="0" borderId="0" xfId="0" applyFont="1" applyFill="1" applyBorder="1"/>
    <xf numFmtId="164" fontId="12" fillId="0" borderId="0" xfId="1" applyNumberFormat="1" applyFont="1" applyFill="1" applyBorder="1"/>
    <xf numFmtId="0" fontId="24" fillId="0" borderId="0" xfId="0" applyFont="1" applyFill="1" applyBorder="1"/>
    <xf numFmtId="164" fontId="24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2" fontId="12" fillId="0" borderId="0" xfId="1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 readingOrder="1"/>
    </xf>
    <xf numFmtId="9" fontId="12" fillId="0" borderId="0" xfId="1" applyFont="1" applyFill="1" applyBorder="1"/>
    <xf numFmtId="0" fontId="31" fillId="0" borderId="0" xfId="0" applyFont="1" applyFill="1" applyBorder="1"/>
    <xf numFmtId="0" fontId="33" fillId="2" borderId="17" xfId="0" applyFont="1" applyFill="1" applyBorder="1" applyAlignment="1">
      <alignment horizontal="right" wrapText="1"/>
    </xf>
    <xf numFmtId="0" fontId="33" fillId="2" borderId="18" xfId="0" applyFont="1" applyFill="1" applyBorder="1" applyAlignment="1">
      <alignment horizontal="centerContinuous"/>
    </xf>
    <xf numFmtId="0" fontId="33" fillId="2" borderId="19" xfId="0" applyFont="1" applyFill="1" applyBorder="1" applyAlignment="1">
      <alignment horizontal="centerContinuous"/>
    </xf>
    <xf numFmtId="0" fontId="33" fillId="2" borderId="17" xfId="0" applyFont="1" applyFill="1" applyBorder="1" applyAlignment="1">
      <alignment horizontal="centerContinuous" wrapText="1"/>
    </xf>
    <xf numFmtId="0" fontId="33" fillId="2" borderId="16" xfId="0" applyFont="1" applyFill="1" applyBorder="1" applyAlignment="1">
      <alignment horizontal="centerContinuous"/>
    </xf>
    <xf numFmtId="0" fontId="4" fillId="0" borderId="28" xfId="0" applyFont="1" applyBorder="1"/>
    <xf numFmtId="0" fontId="33" fillId="2" borderId="18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15" fontId="12" fillId="0" borderId="29" xfId="0" applyNumberFormat="1" applyFont="1" applyBorder="1" applyAlignment="1">
      <alignment horizontal="center"/>
    </xf>
    <xf numFmtId="0" fontId="12" fillId="0" borderId="4" xfId="0" applyFont="1" applyBorder="1"/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10" fontId="12" fillId="0" borderId="4" xfId="0" applyNumberFormat="1" applyFont="1" applyBorder="1"/>
    <xf numFmtId="10" fontId="12" fillId="0" borderId="15" xfId="0" applyNumberFormat="1" applyFont="1" applyBorder="1"/>
    <xf numFmtId="15" fontId="12" fillId="0" borderId="30" xfId="0" applyNumberFormat="1" applyFont="1" applyBorder="1" applyAlignment="1">
      <alignment horizontal="center"/>
    </xf>
    <xf numFmtId="0" fontId="12" fillId="0" borderId="31" xfId="0" applyFont="1" applyBorder="1"/>
    <xf numFmtId="0" fontId="12" fillId="0" borderId="31" xfId="0" applyFont="1" applyBorder="1" applyAlignment="1">
      <alignment horizontal="left"/>
    </xf>
    <xf numFmtId="0" fontId="12" fillId="0" borderId="31" xfId="0" applyFont="1" applyBorder="1" applyAlignment="1">
      <alignment horizontal="center"/>
    </xf>
    <xf numFmtId="10" fontId="12" fillId="0" borderId="31" xfId="1" applyNumberFormat="1" applyFont="1" applyBorder="1"/>
    <xf numFmtId="10" fontId="12" fillId="0" borderId="32" xfId="1" applyNumberFormat="1" applyFont="1" applyBorder="1"/>
    <xf numFmtId="0" fontId="5" fillId="0" borderId="33" xfId="0" applyFont="1" applyBorder="1"/>
    <xf numFmtId="10" fontId="5" fillId="0" borderId="34" xfId="0" applyNumberFormat="1" applyFont="1" applyBorder="1"/>
    <xf numFmtId="10" fontId="5" fillId="0" borderId="35" xfId="0" applyNumberFormat="1" applyFont="1" applyBorder="1"/>
    <xf numFmtId="0" fontId="5" fillId="0" borderId="24" xfId="0" applyFont="1" applyBorder="1"/>
    <xf numFmtId="10" fontId="5" fillId="0" borderId="0" xfId="0" applyNumberFormat="1" applyFont="1" applyBorder="1"/>
    <xf numFmtId="10" fontId="5" fillId="0" borderId="36" xfId="0" applyNumberFormat="1" applyFont="1" applyBorder="1"/>
    <xf numFmtId="0" fontId="5" fillId="0" borderId="37" xfId="0" applyFont="1" applyBorder="1"/>
    <xf numFmtId="10" fontId="5" fillId="0" borderId="38" xfId="0" applyNumberFormat="1" applyFont="1" applyBorder="1"/>
    <xf numFmtId="10" fontId="5" fillId="0" borderId="39" xfId="0" applyNumberFormat="1" applyFont="1" applyBorder="1"/>
    <xf numFmtId="0" fontId="4" fillId="0" borderId="25" xfId="0" applyFont="1" applyBorder="1"/>
    <xf numFmtId="0" fontId="16" fillId="2" borderId="41" xfId="0" applyFont="1" applyFill="1" applyBorder="1" applyAlignment="1">
      <alignment readingOrder="1"/>
    </xf>
    <xf numFmtId="0" fontId="16" fillId="2" borderId="22" xfId="0" applyFont="1" applyFill="1" applyBorder="1" applyAlignment="1">
      <alignment readingOrder="1"/>
    </xf>
    <xf numFmtId="0" fontId="11" fillId="0" borderId="43" xfId="0" applyFont="1" applyBorder="1" applyAlignment="1">
      <alignment readingOrder="1"/>
    </xf>
    <xf numFmtId="0" fontId="11" fillId="0" borderId="9" xfId="0" applyFont="1" applyBorder="1" applyAlignment="1">
      <alignment readingOrder="1"/>
    </xf>
    <xf numFmtId="3" fontId="11" fillId="0" borderId="9" xfId="0" applyNumberFormat="1" applyFont="1" applyBorder="1" applyAlignment="1">
      <alignment horizontal="right" readingOrder="1"/>
    </xf>
    <xf numFmtId="3" fontId="11" fillId="0" borderId="44" xfId="0" applyNumberFormat="1" applyFont="1" applyBorder="1" applyAlignment="1">
      <alignment horizontal="right" readingOrder="1"/>
    </xf>
    <xf numFmtId="0" fontId="5" fillId="0" borderId="43" xfId="0" applyFont="1" applyBorder="1"/>
    <xf numFmtId="0" fontId="4" fillId="0" borderId="43" xfId="0" applyFont="1" applyBorder="1"/>
    <xf numFmtId="0" fontId="31" fillId="0" borderId="43" xfId="0" applyFont="1" applyBorder="1"/>
    <xf numFmtId="0" fontId="31" fillId="0" borderId="9" xfId="0" applyFont="1" applyBorder="1" applyAlignment="1">
      <alignment readingOrder="1"/>
    </xf>
    <xf numFmtId="3" fontId="31" fillId="0" borderId="9" xfId="0" applyNumberFormat="1" applyFont="1" applyBorder="1" applyAlignment="1">
      <alignment horizontal="right" readingOrder="1"/>
    </xf>
    <xf numFmtId="3" fontId="31" fillId="0" borderId="44" xfId="0" applyNumberFormat="1" applyFont="1" applyBorder="1" applyAlignment="1">
      <alignment horizontal="right" readingOrder="1"/>
    </xf>
    <xf numFmtId="3" fontId="12" fillId="0" borderId="9" xfId="0" applyNumberFormat="1" applyFont="1" applyBorder="1" applyAlignment="1">
      <alignment horizontal="right" readingOrder="1"/>
    </xf>
    <xf numFmtId="3" fontId="12" fillId="0" borderId="44" xfId="0" applyNumberFormat="1" applyFont="1" applyBorder="1" applyAlignment="1">
      <alignment horizontal="right" readingOrder="1"/>
    </xf>
    <xf numFmtId="164" fontId="22" fillId="0" borderId="9" xfId="0" applyNumberFormat="1" applyFont="1" applyBorder="1" applyAlignment="1">
      <alignment horizontal="right" readingOrder="1"/>
    </xf>
    <xf numFmtId="164" fontId="14" fillId="0" borderId="9" xfId="0" applyNumberFormat="1" applyFont="1" applyBorder="1" applyAlignment="1">
      <alignment horizontal="right" readingOrder="1"/>
    </xf>
    <xf numFmtId="0" fontId="11" fillId="0" borderId="45" xfId="0" applyFont="1" applyBorder="1" applyAlignment="1">
      <alignment readingOrder="1"/>
    </xf>
    <xf numFmtId="0" fontId="11" fillId="0" borderId="20" xfId="0" applyFont="1" applyBorder="1" applyAlignment="1">
      <alignment readingOrder="1"/>
    </xf>
    <xf numFmtId="3" fontId="11" fillId="0" borderId="20" xfId="0" applyNumberFormat="1" applyFont="1" applyBorder="1" applyAlignment="1">
      <alignment horizontal="right" readingOrder="1"/>
    </xf>
    <xf numFmtId="3" fontId="11" fillId="0" borderId="46" xfId="0" applyNumberFormat="1" applyFont="1" applyBorder="1" applyAlignment="1">
      <alignment horizontal="right" readingOrder="1"/>
    </xf>
    <xf numFmtId="0" fontId="16" fillId="2" borderId="42" xfId="0" applyFont="1" applyFill="1" applyBorder="1" applyAlignment="1">
      <alignment readingOrder="1"/>
    </xf>
    <xf numFmtId="164" fontId="13" fillId="0" borderId="44" xfId="0" applyNumberFormat="1" applyFont="1" applyBorder="1"/>
    <xf numFmtId="164" fontId="4" fillId="0" borderId="44" xfId="0" applyNumberFormat="1" applyFont="1" applyBorder="1"/>
    <xf numFmtId="0" fontId="4" fillId="0" borderId="45" xfId="0" applyFont="1" applyBorder="1"/>
    <xf numFmtId="164" fontId="4" fillId="0" borderId="20" xfId="0" applyNumberFormat="1" applyFont="1" applyBorder="1"/>
    <xf numFmtId="164" fontId="13" fillId="0" borderId="46" xfId="0" applyNumberFormat="1" applyFont="1" applyBorder="1"/>
    <xf numFmtId="0" fontId="16" fillId="2" borderId="47" xfId="0" applyFont="1" applyFill="1" applyBorder="1" applyAlignment="1">
      <alignment readingOrder="1"/>
    </xf>
    <xf numFmtId="0" fontId="16" fillId="2" borderId="23" xfId="0" applyFont="1" applyFill="1" applyBorder="1" applyAlignment="1">
      <alignment horizontal="centerContinuous" vertical="center" readingOrder="1"/>
    </xf>
    <xf numFmtId="0" fontId="16" fillId="2" borderId="48" xfId="0" applyFont="1" applyFill="1" applyBorder="1" applyAlignment="1">
      <alignment horizontal="right" vertical="center" wrapText="1" readingOrder="1"/>
    </xf>
    <xf numFmtId="166" fontId="16" fillId="2" borderId="49" xfId="0" applyNumberFormat="1" applyFont="1" applyFill="1" applyBorder="1" applyAlignment="1">
      <alignment horizontal="right" vertical="center" readingOrder="1"/>
    </xf>
    <xf numFmtId="166" fontId="16" fillId="2" borderId="12" xfId="0" applyNumberFormat="1" applyFont="1" applyFill="1" applyBorder="1" applyAlignment="1">
      <alignment horizontal="right" vertical="center" readingOrder="1"/>
    </xf>
    <xf numFmtId="166" fontId="16" fillId="2" borderId="50" xfId="0" applyNumberFormat="1" applyFont="1" applyFill="1" applyBorder="1" applyAlignment="1">
      <alignment horizontal="right" vertical="center" readingOrder="1"/>
    </xf>
    <xf numFmtId="0" fontId="18" fillId="2" borderId="22" xfId="0" applyFont="1" applyFill="1" applyBorder="1" applyAlignment="1">
      <alignment horizontal="center" readingOrder="1"/>
    </xf>
    <xf numFmtId="0" fontId="16" fillId="2" borderId="22" xfId="0" applyFont="1" applyFill="1" applyBorder="1" applyAlignment="1">
      <alignment horizontal="right" vertical="center" readingOrder="1"/>
    </xf>
    <xf numFmtId="0" fontId="16" fillId="2" borderId="42" xfId="0" applyFont="1" applyFill="1" applyBorder="1" applyAlignment="1">
      <alignment horizontal="right" vertical="center" readingOrder="1"/>
    </xf>
    <xf numFmtId="0" fontId="19" fillId="3" borderId="43" xfId="0" applyFont="1" applyFill="1" applyBorder="1" applyAlignment="1">
      <alignment horizontal="left" wrapText="1" readingOrder="1"/>
    </xf>
    <xf numFmtId="0" fontId="19" fillId="3" borderId="9" xfId="0" applyFont="1" applyFill="1" applyBorder="1" applyAlignment="1">
      <alignment horizontal="left" wrapText="1" readingOrder="1"/>
    </xf>
    <xf numFmtId="0" fontId="11" fillId="3" borderId="9" xfId="0" applyFont="1" applyFill="1" applyBorder="1" applyAlignment="1">
      <alignment horizontal="center" wrapText="1" readingOrder="1"/>
    </xf>
    <xf numFmtId="0" fontId="11" fillId="3" borderId="9" xfId="0" applyFont="1" applyFill="1" applyBorder="1" applyAlignment="1">
      <alignment horizontal="right" wrapText="1" readingOrder="1"/>
    </xf>
    <xf numFmtId="0" fontId="11" fillId="3" borderId="44" xfId="0" applyFont="1" applyFill="1" applyBorder="1" applyAlignment="1">
      <alignment horizontal="right" wrapText="1" readingOrder="1"/>
    </xf>
    <xf numFmtId="0" fontId="11" fillId="0" borderId="43" xfId="0" applyFont="1" applyBorder="1" applyAlignment="1">
      <alignment horizontal="left" wrapText="1" readingOrder="1"/>
    </xf>
    <xf numFmtId="10" fontId="11" fillId="0" borderId="44" xfId="0" applyNumberFormat="1" applyFont="1" applyBorder="1" applyAlignment="1">
      <alignment horizontal="right" wrapText="1" readingOrder="1"/>
    </xf>
    <xf numFmtId="0" fontId="19" fillId="4" borderId="45" xfId="0" applyFont="1" applyFill="1" applyBorder="1" applyAlignment="1">
      <alignment horizontal="left" wrapText="1" readingOrder="1"/>
    </xf>
    <xf numFmtId="0" fontId="19" fillId="4" borderId="20" xfId="0" applyFont="1" applyFill="1" applyBorder="1" applyAlignment="1">
      <alignment horizontal="left" readingOrder="1"/>
    </xf>
    <xf numFmtId="0" fontId="19" fillId="4" borderId="20" xfId="0" applyFont="1" applyFill="1" applyBorder="1" applyAlignment="1">
      <alignment horizontal="center" wrapText="1" readingOrder="1"/>
    </xf>
    <xf numFmtId="3" fontId="19" fillId="4" borderId="20" xfId="0" applyNumberFormat="1" applyFont="1" applyFill="1" applyBorder="1" applyAlignment="1">
      <alignment horizontal="right" wrapText="1" readingOrder="1"/>
    </xf>
    <xf numFmtId="10" fontId="19" fillId="4" borderId="46" xfId="0" applyNumberFormat="1" applyFont="1" applyFill="1" applyBorder="1" applyAlignment="1">
      <alignment horizontal="right" wrapText="1" readingOrder="1"/>
    </xf>
    <xf numFmtId="0" fontId="19" fillId="0" borderId="0" xfId="0" applyFont="1" applyBorder="1" applyAlignment="1">
      <alignment horizontal="left" wrapText="1" readingOrder="1"/>
    </xf>
    <xf numFmtId="0" fontId="11" fillId="0" borderId="0" xfId="0" applyFont="1" applyBorder="1" applyAlignment="1">
      <alignment horizontal="right" wrapText="1" readingOrder="1"/>
    </xf>
    <xf numFmtId="0" fontId="19" fillId="3" borderId="41" xfId="0" applyFont="1" applyFill="1" applyBorder="1" applyAlignment="1">
      <alignment horizontal="left" wrapText="1" readingOrder="1"/>
    </xf>
    <xf numFmtId="0" fontId="19" fillId="3" borderId="22" xfId="0" applyFont="1" applyFill="1" applyBorder="1" applyAlignment="1">
      <alignment horizontal="left" readingOrder="1"/>
    </xf>
    <xf numFmtId="0" fontId="11" fillId="3" borderId="22" xfId="0" applyFont="1" applyFill="1" applyBorder="1" applyAlignment="1">
      <alignment horizontal="center" wrapText="1" readingOrder="1"/>
    </xf>
    <xf numFmtId="0" fontId="11" fillId="3" borderId="22" xfId="0" applyFont="1" applyFill="1" applyBorder="1" applyAlignment="1">
      <alignment horizontal="right" wrapText="1" readingOrder="1"/>
    </xf>
    <xf numFmtId="0" fontId="11" fillId="3" borderId="42" xfId="0" applyFont="1" applyFill="1" applyBorder="1" applyAlignment="1">
      <alignment horizontal="right" wrapText="1" readingOrder="1"/>
    </xf>
    <xf numFmtId="0" fontId="19" fillId="0" borderId="9" xfId="0" applyFont="1" applyBorder="1" applyAlignment="1">
      <alignment horizontal="left" readingOrder="1"/>
    </xf>
    <xf numFmtId="0" fontId="19" fillId="0" borderId="9" xfId="0" applyFont="1" applyBorder="1" applyAlignment="1">
      <alignment horizontal="center" wrapText="1" readingOrder="1"/>
    </xf>
    <xf numFmtId="10" fontId="19" fillId="0" borderId="44" xfId="0" applyNumberFormat="1" applyFont="1" applyBorder="1" applyAlignment="1">
      <alignment horizontal="right" wrapText="1" readingOrder="1"/>
    </xf>
    <xf numFmtId="0" fontId="19" fillId="3" borderId="9" xfId="0" applyFont="1" applyFill="1" applyBorder="1" applyAlignment="1">
      <alignment horizontal="left" readingOrder="1"/>
    </xf>
    <xf numFmtId="0" fontId="19" fillId="0" borderId="43" xfId="0" applyFont="1" applyBorder="1" applyAlignment="1">
      <alignment horizontal="left" wrapText="1" readingOrder="1"/>
    </xf>
    <xf numFmtId="3" fontId="19" fillId="0" borderId="9" xfId="0" applyNumberFormat="1" applyFont="1" applyBorder="1" applyAlignment="1">
      <alignment horizontal="right" wrapText="1" readingOrder="1"/>
    </xf>
    <xf numFmtId="0" fontId="11" fillId="0" borderId="44" xfId="0" applyFont="1" applyBorder="1" applyAlignment="1">
      <alignment horizontal="right" wrapText="1" readingOrder="1"/>
    </xf>
    <xf numFmtId="0" fontId="19" fillId="4" borderId="20" xfId="0" applyFont="1" applyFill="1" applyBorder="1" applyAlignment="1">
      <alignment horizontal="left" wrapText="1" readingOrder="1"/>
    </xf>
    <xf numFmtId="0" fontId="4" fillId="0" borderId="44" xfId="0" applyFont="1" applyBorder="1"/>
    <xf numFmtId="0" fontId="4" fillId="0" borderId="43" xfId="0" applyFont="1" applyBorder="1" applyAlignment="1">
      <alignment horizontal="left" indent="1"/>
    </xf>
    <xf numFmtId="0" fontId="4" fillId="0" borderId="9" xfId="0" applyFont="1" applyBorder="1" applyAlignment="1">
      <alignment horizontal="right"/>
    </xf>
    <xf numFmtId="164" fontId="12" fillId="0" borderId="9" xfId="0" applyNumberFormat="1" applyFont="1" applyBorder="1"/>
    <xf numFmtId="0" fontId="5" fillId="0" borderId="9" xfId="0" applyFont="1" applyBorder="1"/>
    <xf numFmtId="164" fontId="5" fillId="0" borderId="9" xfId="0" applyNumberFormat="1" applyFont="1" applyBorder="1"/>
    <xf numFmtId="164" fontId="5" fillId="0" borderId="44" xfId="0" applyNumberFormat="1" applyFont="1" applyBorder="1"/>
    <xf numFmtId="0" fontId="0" fillId="0" borderId="9" xfId="0" applyBorder="1"/>
    <xf numFmtId="3" fontId="4" fillId="0" borderId="9" xfId="0" applyNumberFormat="1" applyFont="1" applyBorder="1"/>
    <xf numFmtId="3" fontId="5" fillId="0" borderId="9" xfId="0" applyNumberFormat="1" applyFont="1" applyBorder="1"/>
    <xf numFmtId="3" fontId="19" fillId="0" borderId="0" xfId="0" applyNumberFormat="1" applyFont="1" applyFill="1" applyBorder="1" applyAlignment="1">
      <alignment horizontal="right" wrapText="1" readingOrder="1"/>
    </xf>
    <xf numFmtId="0" fontId="4" fillId="0" borderId="0" xfId="0" applyFont="1" applyBorder="1"/>
    <xf numFmtId="0" fontId="4" fillId="0" borderId="41" xfId="0" applyFont="1" applyBorder="1" applyAlignment="1">
      <alignment horizontal="left" indent="1"/>
    </xf>
    <xf numFmtId="0" fontId="4" fillId="0" borderId="22" xfId="0" applyFont="1" applyBorder="1"/>
    <xf numFmtId="3" fontId="19" fillId="4" borderId="46" xfId="0" applyNumberFormat="1" applyFont="1" applyFill="1" applyBorder="1" applyAlignment="1">
      <alignment horizontal="right" wrapText="1" readingOrder="1"/>
    </xf>
    <xf numFmtId="164" fontId="5" fillId="0" borderId="40" xfId="0" applyNumberFormat="1" applyFont="1" applyBorder="1"/>
    <xf numFmtId="164" fontId="5" fillId="0" borderId="40" xfId="0" applyNumberFormat="1" applyFont="1" applyFill="1" applyBorder="1"/>
    <xf numFmtId="0" fontId="16" fillId="2" borderId="43" xfId="0" applyFont="1" applyFill="1" applyBorder="1" applyAlignment="1">
      <alignment readingOrder="1"/>
    </xf>
    <xf numFmtId="0" fontId="16" fillId="2" borderId="9" xfId="0" applyFont="1" applyFill="1" applyBorder="1" applyAlignment="1">
      <alignment horizontal="right" vertical="center" readingOrder="1"/>
    </xf>
    <xf numFmtId="0" fontId="16" fillId="2" borderId="44" xfId="0" applyFont="1" applyFill="1" applyBorder="1" applyAlignment="1">
      <alignment horizontal="right" vertical="center" readingOrder="1"/>
    </xf>
    <xf numFmtId="3" fontId="12" fillId="0" borderId="9" xfId="0" applyNumberFormat="1" applyFont="1" applyBorder="1"/>
    <xf numFmtId="3" fontId="12" fillId="0" borderId="44" xfId="0" applyNumberFormat="1" applyFont="1" applyBorder="1"/>
    <xf numFmtId="3" fontId="5" fillId="0" borderId="44" xfId="0" applyNumberFormat="1" applyFont="1" applyBorder="1"/>
    <xf numFmtId="3" fontId="4" fillId="0" borderId="44" xfId="0" applyNumberFormat="1" applyFont="1" applyBorder="1"/>
    <xf numFmtId="164" fontId="4" fillId="0" borderId="9" xfId="1" applyNumberFormat="1" applyFont="1" applyBorder="1"/>
    <xf numFmtId="0" fontId="5" fillId="0" borderId="45" xfId="0" applyFont="1" applyBorder="1"/>
    <xf numFmtId="0" fontId="5" fillId="0" borderId="20" xfId="0" applyFont="1" applyBorder="1"/>
    <xf numFmtId="3" fontId="5" fillId="0" borderId="20" xfId="0" applyNumberFormat="1" applyFont="1" applyBorder="1"/>
    <xf numFmtId="3" fontId="5" fillId="0" borderId="46" xfId="0" applyNumberFormat="1" applyFont="1" applyBorder="1"/>
    <xf numFmtId="0" fontId="16" fillId="2" borderId="49" xfId="0" applyFont="1" applyFill="1" applyBorder="1" applyAlignment="1">
      <alignment readingOrder="1"/>
    </xf>
    <xf numFmtId="0" fontId="16" fillId="2" borderId="50" xfId="0" applyFont="1" applyFill="1" applyBorder="1" applyAlignment="1">
      <alignment horizontal="right" vertical="center" readingOrder="1"/>
    </xf>
    <xf numFmtId="0" fontId="16" fillId="2" borderId="48" xfId="0" applyFont="1" applyFill="1" applyBorder="1" applyAlignment="1">
      <alignment readingOrder="1"/>
    </xf>
    <xf numFmtId="0" fontId="4" fillId="0" borderId="51" xfId="0" applyFont="1" applyBorder="1"/>
    <xf numFmtId="0" fontId="12" fillId="0" borderId="0" xfId="0" applyFont="1" applyBorder="1" applyAlignment="1">
      <alignment horizontal="right"/>
    </xf>
    <xf numFmtId="0" fontId="4" fillId="0" borderId="53" xfId="0" applyFont="1" applyBorder="1"/>
    <xf numFmtId="16" fontId="16" fillId="2" borderId="42" xfId="0" applyNumberFormat="1" applyFont="1" applyFill="1" applyBorder="1" applyAlignment="1">
      <alignment horizontal="right" vertical="center" wrapText="1" readingOrder="1"/>
    </xf>
    <xf numFmtId="0" fontId="19" fillId="0" borderId="43" xfId="0" applyFont="1" applyBorder="1" applyAlignment="1">
      <alignment readingOrder="1"/>
    </xf>
    <xf numFmtId="3" fontId="30" fillId="0" borderId="9" xfId="0" applyNumberFormat="1" applyFont="1" applyBorder="1" applyAlignment="1">
      <alignment horizontal="right" readingOrder="1"/>
    </xf>
    <xf numFmtId="3" fontId="30" fillId="0" borderId="44" xfId="0" applyNumberFormat="1" applyFont="1" applyBorder="1" applyAlignment="1">
      <alignment horizontal="right" readingOrder="1"/>
    </xf>
    <xf numFmtId="0" fontId="31" fillId="4" borderId="43" xfId="0" applyFont="1" applyFill="1" applyBorder="1" applyAlignment="1">
      <alignment readingOrder="1"/>
    </xf>
    <xf numFmtId="0" fontId="31" fillId="4" borderId="9" xfId="0" applyFont="1" applyFill="1" applyBorder="1" applyAlignment="1">
      <alignment readingOrder="1"/>
    </xf>
    <xf numFmtId="3" fontId="31" fillId="4" borderId="9" xfId="0" applyNumberFormat="1" applyFont="1" applyFill="1" applyBorder="1" applyAlignment="1">
      <alignment horizontal="right" readingOrder="1"/>
    </xf>
    <xf numFmtId="3" fontId="31" fillId="4" borderId="44" xfId="0" applyNumberFormat="1" applyFont="1" applyFill="1" applyBorder="1" applyAlignment="1">
      <alignment horizontal="right" readingOrder="1"/>
    </xf>
    <xf numFmtId="0" fontId="19" fillId="4" borderId="43" xfId="0" applyFont="1" applyFill="1" applyBorder="1" applyAlignment="1">
      <alignment readingOrder="1"/>
    </xf>
    <xf numFmtId="0" fontId="11" fillId="4" borderId="9" xfId="0" applyFont="1" applyFill="1" applyBorder="1" applyAlignment="1">
      <alignment readingOrder="1"/>
    </xf>
    <xf numFmtId="3" fontId="30" fillId="4" borderId="9" xfId="0" applyNumberFormat="1" applyFont="1" applyFill="1" applyBorder="1" applyAlignment="1">
      <alignment horizontal="right" readingOrder="1"/>
    </xf>
    <xf numFmtId="3" fontId="30" fillId="4" borderId="44" xfId="0" applyNumberFormat="1" applyFont="1" applyFill="1" applyBorder="1" applyAlignment="1">
      <alignment horizontal="right" readingOrder="1"/>
    </xf>
    <xf numFmtId="0" fontId="31" fillId="0" borderId="43" xfId="0" applyFont="1" applyBorder="1" applyAlignment="1">
      <alignment readingOrder="1"/>
    </xf>
    <xf numFmtId="0" fontId="31" fillId="4" borderId="45" xfId="0" applyFont="1" applyFill="1" applyBorder="1" applyAlignment="1">
      <alignment readingOrder="1"/>
    </xf>
    <xf numFmtId="0" fontId="31" fillId="4" borderId="20" xfId="0" applyFont="1" applyFill="1" applyBorder="1" applyAlignment="1">
      <alignment readingOrder="1"/>
    </xf>
    <xf numFmtId="3" fontId="31" fillId="4" borderId="20" xfId="0" applyNumberFormat="1" applyFont="1" applyFill="1" applyBorder="1" applyAlignment="1">
      <alignment horizontal="right" readingOrder="1"/>
    </xf>
    <xf numFmtId="3" fontId="31" fillId="4" borderId="46" xfId="0" applyNumberFormat="1" applyFont="1" applyFill="1" applyBorder="1" applyAlignment="1">
      <alignment horizontal="right" readingOrder="1"/>
    </xf>
    <xf numFmtId="0" fontId="11" fillId="0" borderId="8" xfId="0" applyFont="1" applyBorder="1" applyAlignment="1">
      <alignment readingOrder="1"/>
    </xf>
    <xf numFmtId="3" fontId="13" fillId="0" borderId="9" xfId="0" applyNumberFormat="1" applyFont="1" applyBorder="1" applyAlignment="1">
      <alignment horizontal="right" readingOrder="1"/>
    </xf>
    <xf numFmtId="3" fontId="13" fillId="0" borderId="10" xfId="0" applyNumberFormat="1" applyFont="1" applyBorder="1" applyAlignment="1">
      <alignment horizontal="right" readingOrder="1"/>
    </xf>
    <xf numFmtId="0" fontId="13" fillId="3" borderId="43" xfId="0" applyFont="1" applyFill="1" applyBorder="1" applyAlignment="1">
      <alignment vertical="center" wrapText="1"/>
    </xf>
    <xf numFmtId="0" fontId="20" fillId="3" borderId="9" xfId="0" applyFont="1" applyFill="1" applyBorder="1" applyAlignment="1">
      <alignment horizontal="left" wrapText="1" readingOrder="1"/>
    </xf>
    <xf numFmtId="0" fontId="21" fillId="3" borderId="9" xfId="0" applyFont="1" applyFill="1" applyBorder="1" applyAlignment="1">
      <alignment horizontal="left" wrapText="1" readingOrder="1"/>
    </xf>
    <xf numFmtId="0" fontId="20" fillId="3" borderId="9" xfId="0" applyFont="1" applyFill="1" applyBorder="1" applyAlignment="1">
      <alignment horizontal="center" wrapText="1" readingOrder="1"/>
    </xf>
    <xf numFmtId="166" fontId="20" fillId="3" borderId="9" xfId="0" applyNumberFormat="1" applyFont="1" applyFill="1" applyBorder="1" applyAlignment="1">
      <alignment horizontal="right" wrapText="1" readingOrder="1"/>
    </xf>
    <xf numFmtId="0" fontId="13" fillId="3" borderId="44" xfId="0" applyFont="1" applyFill="1" applyBorder="1" applyAlignment="1">
      <alignment horizontal="right" vertical="center" wrapText="1"/>
    </xf>
    <xf numFmtId="0" fontId="19" fillId="0" borderId="9" xfId="0" applyFont="1" applyBorder="1" applyAlignment="1">
      <alignment readingOrder="1"/>
    </xf>
    <xf numFmtId="3" fontId="19" fillId="0" borderId="9" xfId="0" applyNumberFormat="1" applyFont="1" applyBorder="1" applyAlignment="1">
      <alignment horizontal="right" readingOrder="1"/>
    </xf>
    <xf numFmtId="3" fontId="19" fillId="0" borderId="44" xfId="0" applyNumberFormat="1" applyFont="1" applyBorder="1" applyAlignment="1">
      <alignment horizontal="right" readingOrder="1"/>
    </xf>
    <xf numFmtId="0" fontId="19" fillId="0" borderId="43" xfId="0" applyFont="1" applyBorder="1" applyAlignment="1">
      <alignment horizontal="left" readingOrder="1"/>
    </xf>
    <xf numFmtId="0" fontId="12" fillId="0" borderId="9" xfId="0" applyFont="1" applyBorder="1" applyAlignment="1">
      <alignment horizontal="left" readingOrder="1"/>
    </xf>
    <xf numFmtId="0" fontId="11" fillId="0" borderId="43" xfId="0" applyFont="1" applyBorder="1" applyAlignment="1">
      <alignment horizontal="left" readingOrder="1"/>
    </xf>
    <xf numFmtId="0" fontId="24" fillId="0" borderId="9" xfId="0" applyFont="1" applyBorder="1" applyAlignment="1">
      <alignment horizontal="left" readingOrder="1"/>
    </xf>
    <xf numFmtId="0" fontId="16" fillId="2" borderId="22" xfId="0" applyFont="1" applyFill="1" applyBorder="1" applyAlignment="1">
      <alignment horizontal="center" wrapText="1" readingOrder="1"/>
    </xf>
    <xf numFmtId="0" fontId="16" fillId="2" borderId="42" xfId="0" applyFont="1" applyFill="1" applyBorder="1" applyAlignment="1">
      <alignment horizontal="center" wrapText="1" readingOrder="1"/>
    </xf>
    <xf numFmtId="0" fontId="19" fillId="0" borderId="6" xfId="0" applyFont="1" applyBorder="1" applyAlignment="1">
      <alignment horizontal="left" readingOrder="1"/>
    </xf>
    <xf numFmtId="0" fontId="12" fillId="0" borderId="0" xfId="0" applyFont="1" applyBorder="1" applyAlignment="1">
      <alignment horizontal="left" readingOrder="1"/>
    </xf>
    <xf numFmtId="0" fontId="11" fillId="0" borderId="7" xfId="0" applyFont="1" applyBorder="1" applyAlignment="1">
      <alignment horizontal="right" readingOrder="1"/>
    </xf>
    <xf numFmtId="0" fontId="11" fillId="0" borderId="9" xfId="0" applyFont="1" applyBorder="1" applyAlignment="1">
      <alignment horizontal="right" readingOrder="1"/>
    </xf>
    <xf numFmtId="0" fontId="11" fillId="0" borderId="44" xfId="0" applyFont="1" applyBorder="1" applyAlignment="1">
      <alignment horizontal="right" readingOrder="1"/>
    </xf>
    <xf numFmtId="10" fontId="22" fillId="0" borderId="9" xfId="0" applyNumberFormat="1" applyFont="1" applyBorder="1" applyAlignment="1">
      <alignment horizontal="right" readingOrder="1"/>
    </xf>
    <xf numFmtId="165" fontId="11" fillId="0" borderId="9" xfId="0" applyNumberFormat="1" applyFont="1" applyBorder="1" applyAlignment="1">
      <alignment horizontal="right" readingOrder="1"/>
    </xf>
    <xf numFmtId="165" fontId="11" fillId="0" borderId="44" xfId="0" applyNumberFormat="1" applyFont="1" applyBorder="1" applyAlignment="1">
      <alignment horizontal="right" readingOrder="1"/>
    </xf>
    <xf numFmtId="0" fontId="19" fillId="4" borderId="45" xfId="0" applyFont="1" applyFill="1" applyBorder="1" applyAlignment="1">
      <alignment readingOrder="1"/>
    </xf>
    <xf numFmtId="0" fontId="19" fillId="4" borderId="20" xfId="0" applyFont="1" applyFill="1" applyBorder="1" applyAlignment="1">
      <alignment readingOrder="1"/>
    </xf>
    <xf numFmtId="0" fontId="12" fillId="4" borderId="20" xfId="0" applyFont="1" applyFill="1" applyBorder="1" applyAlignment="1">
      <alignment horizontal="left" readingOrder="1"/>
    </xf>
    <xf numFmtId="0" fontId="11" fillId="4" borderId="20" xfId="0" applyFont="1" applyFill="1" applyBorder="1" applyAlignment="1">
      <alignment horizontal="left" readingOrder="1"/>
    </xf>
    <xf numFmtId="3" fontId="19" fillId="4" borderId="20" xfId="0" applyNumberFormat="1" applyFont="1" applyFill="1" applyBorder="1" applyAlignment="1">
      <alignment horizontal="right" readingOrder="1"/>
    </xf>
    <xf numFmtId="3" fontId="19" fillId="4" borderId="46" xfId="0" applyNumberFormat="1" applyFont="1" applyFill="1" applyBorder="1" applyAlignment="1">
      <alignment horizontal="right" readingOrder="1"/>
    </xf>
    <xf numFmtId="0" fontId="16" fillId="2" borderId="22" xfId="0" applyFont="1" applyFill="1" applyBorder="1" applyAlignment="1">
      <alignment horizontal="left" readingOrder="1"/>
    </xf>
    <xf numFmtId="164" fontId="22" fillId="0" borderId="44" xfId="0" applyNumberFormat="1" applyFont="1" applyBorder="1" applyAlignment="1">
      <alignment horizontal="right" readingOrder="1"/>
    </xf>
    <xf numFmtId="0" fontId="12" fillId="0" borderId="20" xfId="0" applyFont="1" applyBorder="1" applyAlignment="1">
      <alignment horizontal="right"/>
    </xf>
    <xf numFmtId="164" fontId="4" fillId="0" borderId="46" xfId="0" applyNumberFormat="1" applyFont="1" applyBorder="1"/>
    <xf numFmtId="0" fontId="22" fillId="0" borderId="9" xfId="0" applyFont="1" applyBorder="1" applyAlignment="1">
      <alignment horizontal="left" readingOrder="1"/>
    </xf>
    <xf numFmtId="0" fontId="19" fillId="0" borderId="0" xfId="0" applyFont="1" applyFill="1" applyBorder="1" applyAlignment="1">
      <alignment horizontal="right" readingOrder="1"/>
    </xf>
    <xf numFmtId="0" fontId="16" fillId="2" borderId="56" xfId="0" applyFont="1" applyFill="1" applyBorder="1" applyAlignment="1">
      <alignment horizontal="center" wrapText="1" readingOrder="1"/>
    </xf>
    <xf numFmtId="0" fontId="11" fillId="0" borderId="57" xfId="0" applyFont="1" applyBorder="1" applyAlignment="1">
      <alignment horizontal="left" readingOrder="1"/>
    </xf>
    <xf numFmtId="0" fontId="11" fillId="0" borderId="18" xfId="0" applyFont="1" applyBorder="1" applyAlignment="1">
      <alignment horizontal="left" readingOrder="1"/>
    </xf>
    <xf numFmtId="3" fontId="11" fillId="0" borderId="58" xfId="0" applyNumberFormat="1" applyFont="1" applyBorder="1" applyAlignment="1">
      <alignment horizontal="right" readingOrder="1"/>
    </xf>
    <xf numFmtId="10" fontId="22" fillId="0" borderId="58" xfId="0" applyNumberFormat="1" applyFont="1" applyBorder="1" applyAlignment="1">
      <alignment horizontal="right" readingOrder="1"/>
    </xf>
    <xf numFmtId="0" fontId="19" fillId="4" borderId="59" xfId="0" applyFont="1" applyFill="1" applyBorder="1" applyAlignment="1">
      <alignment readingOrder="1"/>
    </xf>
    <xf numFmtId="0" fontId="19" fillId="4" borderId="27" xfId="0" applyFont="1" applyFill="1" applyBorder="1" applyAlignment="1">
      <alignment readingOrder="1"/>
    </xf>
    <xf numFmtId="1" fontId="19" fillId="4" borderId="60" xfId="0" applyNumberFormat="1" applyFont="1" applyFill="1" applyBorder="1" applyAlignment="1">
      <alignment horizontal="right" readingOrder="1"/>
    </xf>
    <xf numFmtId="0" fontId="4" fillId="0" borderId="61" xfId="0" applyFont="1" applyBorder="1"/>
    <xf numFmtId="0" fontId="4" fillId="0" borderId="14" xfId="0" applyFont="1" applyBorder="1"/>
    <xf numFmtId="3" fontId="4" fillId="0" borderId="62" xfId="0" applyNumberFormat="1" applyFont="1" applyBorder="1"/>
    <xf numFmtId="1" fontId="4" fillId="0" borderId="62" xfId="0" applyNumberFormat="1" applyFont="1" applyBorder="1"/>
    <xf numFmtId="0" fontId="5" fillId="4" borderId="61" xfId="0" applyFont="1" applyFill="1" applyBorder="1"/>
    <xf numFmtId="0" fontId="5" fillId="4" borderId="14" xfId="0" applyFont="1" applyFill="1" applyBorder="1"/>
    <xf numFmtId="3" fontId="5" fillId="4" borderId="62" xfId="0" applyNumberFormat="1" applyFont="1" applyFill="1" applyBorder="1"/>
    <xf numFmtId="0" fontId="33" fillId="2" borderId="41" xfId="0" applyFont="1" applyFill="1" applyBorder="1" applyAlignment="1">
      <alignment horizontal="right" wrapText="1"/>
    </xf>
    <xf numFmtId="0" fontId="33" fillId="2" borderId="22" xfId="0" applyFont="1" applyFill="1" applyBorder="1" applyAlignment="1">
      <alignment horizontal="centerContinuous"/>
    </xf>
    <xf numFmtId="0" fontId="33" fillId="2" borderId="42" xfId="0" applyFont="1" applyFill="1" applyBorder="1" applyAlignment="1">
      <alignment horizontal="centerContinuous"/>
    </xf>
    <xf numFmtId="0" fontId="33" fillId="2" borderId="43" xfId="0" applyFont="1" applyFill="1" applyBorder="1" applyAlignment="1">
      <alignment horizontal="centerContinuous" wrapText="1"/>
    </xf>
    <xf numFmtId="0" fontId="33" fillId="2" borderId="9" xfId="0" applyFont="1" applyFill="1" applyBorder="1" applyAlignment="1">
      <alignment horizontal="centerContinuous"/>
    </xf>
    <xf numFmtId="0" fontId="33" fillId="2" borderId="9" xfId="0" applyFont="1" applyFill="1" applyBorder="1" applyAlignment="1">
      <alignment horizontal="center"/>
    </xf>
    <xf numFmtId="0" fontId="33" fillId="2" borderId="63" xfId="0" applyFont="1" applyFill="1" applyBorder="1" applyAlignment="1">
      <alignment horizontal="centerContinuous"/>
    </xf>
    <xf numFmtId="0" fontId="33" fillId="2" borderId="64" xfId="0" applyFont="1" applyFill="1" applyBorder="1" applyAlignment="1">
      <alignment horizontal="centerContinuous"/>
    </xf>
    <xf numFmtId="0" fontId="4" fillId="0" borderId="9" xfId="0" applyFont="1" applyBorder="1" applyAlignment="1">
      <alignment horizontal="center"/>
    </xf>
    <xf numFmtId="15" fontId="12" fillId="0" borderId="43" xfId="0" applyNumberFormat="1" applyFont="1" applyBorder="1" applyAlignment="1">
      <alignment horizontal="center"/>
    </xf>
    <xf numFmtId="0" fontId="12" fillId="0" borderId="9" xfId="0" applyFont="1" applyBorder="1"/>
    <xf numFmtId="0" fontId="12" fillId="0" borderId="9" xfId="0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10" fontId="12" fillId="0" borderId="9" xfId="0" applyNumberFormat="1" applyFont="1" applyBorder="1"/>
    <xf numFmtId="10" fontId="12" fillId="0" borderId="44" xfId="0" applyNumberFormat="1" applyFont="1" applyBorder="1"/>
    <xf numFmtId="10" fontId="12" fillId="0" borderId="65" xfId="0" applyNumberFormat="1" applyFont="1" applyBorder="1"/>
    <xf numFmtId="15" fontId="12" fillId="0" borderId="45" xfId="0" applyNumberFormat="1" applyFont="1" applyBorder="1" applyAlignment="1">
      <alignment horizontal="center"/>
    </xf>
    <xf numFmtId="0" fontId="12" fillId="0" borderId="20" xfId="0" applyFont="1" applyBorder="1"/>
    <xf numFmtId="0" fontId="1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0" fontId="12" fillId="0" borderId="20" xfId="1" applyNumberFormat="1" applyFont="1" applyBorder="1"/>
    <xf numFmtId="10" fontId="12" fillId="0" borderId="46" xfId="1" applyNumberFormat="1" applyFont="1" applyBorder="1"/>
    <xf numFmtId="0" fontId="5" fillId="0" borderId="41" xfId="0" applyFont="1" applyBorder="1"/>
    <xf numFmtId="10" fontId="5" fillId="0" borderId="22" xfId="0" applyNumberFormat="1" applyFont="1" applyBorder="1"/>
    <xf numFmtId="10" fontId="5" fillId="0" borderId="42" xfId="0" applyNumberFormat="1" applyFont="1" applyBorder="1"/>
    <xf numFmtId="10" fontId="5" fillId="0" borderId="9" xfId="0" applyNumberFormat="1" applyFont="1" applyBorder="1"/>
    <xf numFmtId="10" fontId="5" fillId="0" borderId="44" xfId="0" applyNumberFormat="1" applyFont="1" applyBorder="1"/>
    <xf numFmtId="10" fontId="5" fillId="0" borderId="20" xfId="0" applyNumberFormat="1" applyFont="1" applyBorder="1"/>
    <xf numFmtId="10" fontId="5" fillId="0" borderId="46" xfId="0" applyNumberFormat="1" applyFont="1" applyBorder="1"/>
    <xf numFmtId="0" fontId="16" fillId="2" borderId="41" xfId="0" applyFont="1" applyFill="1" applyBorder="1" applyAlignment="1">
      <alignment horizontal="left" readingOrder="1"/>
    </xf>
    <xf numFmtId="0" fontId="16" fillId="2" borderId="22" xfId="0" applyFont="1" applyFill="1" applyBorder="1" applyAlignment="1">
      <alignment horizontal="centerContinuous" wrapText="1" readingOrder="1"/>
    </xf>
    <xf numFmtId="0" fontId="16" fillId="2" borderId="42" xfId="0" applyFont="1" applyFill="1" applyBorder="1" applyAlignment="1">
      <alignment horizontal="centerContinuous" wrapText="1" readingOrder="1"/>
    </xf>
    <xf numFmtId="0" fontId="2" fillId="0" borderId="9" xfId="0" applyFont="1" applyBorder="1"/>
    <xf numFmtId="0" fontId="13" fillId="0" borderId="9" xfId="0" applyFont="1" applyBorder="1" applyAlignment="1">
      <alignment horizontal="right" readingOrder="1"/>
    </xf>
    <xf numFmtId="166" fontId="16" fillId="2" borderId="41" xfId="0" applyNumberFormat="1" applyFont="1" applyFill="1" applyBorder="1" applyAlignment="1">
      <alignment horizontal="left" vertical="center" readingOrder="1"/>
    </xf>
    <xf numFmtId="166" fontId="16" fillId="2" borderId="22" xfId="0" applyNumberFormat="1" applyFont="1" applyFill="1" applyBorder="1" applyAlignment="1">
      <alignment horizontal="right" vertical="center" readingOrder="1"/>
    </xf>
    <xf numFmtId="166" fontId="16" fillId="2" borderId="42" xfId="0" applyNumberFormat="1" applyFont="1" applyFill="1" applyBorder="1" applyAlignment="1">
      <alignment horizontal="right" vertical="center" readingOrder="1"/>
    </xf>
    <xf numFmtId="0" fontId="16" fillId="2" borderId="42" xfId="0" applyFont="1" applyFill="1" applyBorder="1" applyAlignment="1">
      <alignment wrapText="1" readingOrder="1"/>
    </xf>
    <xf numFmtId="0" fontId="31" fillId="3" borderId="43" xfId="0" applyFont="1" applyFill="1" applyBorder="1" applyAlignment="1">
      <alignment vertical="center"/>
    </xf>
    <xf numFmtId="166" fontId="20" fillId="3" borderId="44" xfId="0" applyNumberFormat="1" applyFont="1" applyFill="1" applyBorder="1" applyAlignment="1">
      <alignment horizontal="right" wrapText="1" readingOrder="1"/>
    </xf>
    <xf numFmtId="0" fontId="25" fillId="0" borderId="43" xfId="0" applyFont="1" applyBorder="1" applyAlignment="1">
      <alignment readingOrder="1"/>
    </xf>
    <xf numFmtId="0" fontId="29" fillId="0" borderId="20" xfId="0" applyFont="1" applyBorder="1" applyAlignment="1">
      <alignment horizontal="right"/>
    </xf>
    <xf numFmtId="3" fontId="0" fillId="0" borderId="44" xfId="0" applyNumberFormat="1" applyBorder="1"/>
    <xf numFmtId="0" fontId="19" fillId="4" borderId="9" xfId="0" applyFont="1" applyFill="1" applyBorder="1" applyAlignment="1">
      <alignment readingOrder="1"/>
    </xf>
    <xf numFmtId="3" fontId="19" fillId="4" borderId="9" xfId="0" applyNumberFormat="1" applyFont="1" applyFill="1" applyBorder="1" applyAlignment="1">
      <alignment horizontal="right" readingOrder="1"/>
    </xf>
    <xf numFmtId="3" fontId="19" fillId="4" borderId="44" xfId="0" applyNumberFormat="1" applyFont="1" applyFill="1" applyBorder="1" applyAlignment="1">
      <alignment horizontal="right" readingOrder="1"/>
    </xf>
    <xf numFmtId="0" fontId="5" fillId="4" borderId="45" xfId="0" applyFont="1" applyFill="1" applyBorder="1"/>
    <xf numFmtId="0" fontId="5" fillId="4" borderId="20" xfId="0" applyFont="1" applyFill="1" applyBorder="1"/>
    <xf numFmtId="3" fontId="11" fillId="0" borderId="42" xfId="0" applyNumberFormat="1" applyFont="1" applyBorder="1" applyAlignment="1">
      <alignment horizontal="right" readingOrder="1"/>
    </xf>
    <xf numFmtId="0" fontId="16" fillId="2" borderId="41" xfId="0" applyFont="1" applyFill="1" applyBorder="1" applyAlignment="1">
      <alignment wrapText="1" readingOrder="1"/>
    </xf>
    <xf numFmtId="0" fontId="16" fillId="2" borderId="22" xfId="0" applyFont="1" applyFill="1" applyBorder="1" applyAlignment="1">
      <alignment horizontal="right" wrapText="1" readingOrder="1"/>
    </xf>
    <xf numFmtId="0" fontId="16" fillId="2" borderId="22" xfId="0" applyFont="1" applyFill="1" applyBorder="1" applyAlignment="1">
      <alignment horizontal="right" readingOrder="1"/>
    </xf>
    <xf numFmtId="2" fontId="13" fillId="0" borderId="44" xfId="0" applyNumberFormat="1" applyFont="1" applyBorder="1"/>
    <xf numFmtId="0" fontId="27" fillId="0" borderId="9" xfId="0" applyFont="1" applyBorder="1" applyAlignment="1">
      <alignment horizontal="center"/>
    </xf>
    <xf numFmtId="0" fontId="27" fillId="0" borderId="9" xfId="0" quotePrefix="1" applyFont="1" applyBorder="1" applyAlignment="1">
      <alignment horizontal="center"/>
    </xf>
    <xf numFmtId="164" fontId="12" fillId="0" borderId="44" xfId="0" applyNumberFormat="1" applyFont="1" applyBorder="1"/>
    <xf numFmtId="2" fontId="4" fillId="0" borderId="44" xfId="0" applyNumberFormat="1" applyFont="1" applyBorder="1"/>
    <xf numFmtId="0" fontId="4" fillId="2" borderId="22" xfId="0" applyFont="1" applyFill="1" applyBorder="1"/>
    <xf numFmtId="0" fontId="5" fillId="4" borderId="43" xfId="0" applyFont="1" applyFill="1" applyBorder="1"/>
    <xf numFmtId="0" fontId="5" fillId="4" borderId="9" xfId="0" applyFont="1" applyFill="1" applyBorder="1"/>
    <xf numFmtId="164" fontId="5" fillId="4" borderId="44" xfId="0" applyNumberFormat="1" applyFont="1" applyFill="1" applyBorder="1"/>
    <xf numFmtId="164" fontId="5" fillId="4" borderId="46" xfId="0" applyNumberFormat="1" applyFont="1" applyFill="1" applyBorder="1"/>
    <xf numFmtId="0" fontId="16" fillId="2" borderId="22" xfId="0" applyFont="1" applyFill="1" applyBorder="1" applyAlignment="1">
      <alignment wrapText="1" readingOrder="1"/>
    </xf>
    <xf numFmtId="0" fontId="12" fillId="0" borderId="43" xfId="0" applyFont="1" applyFill="1" applyBorder="1"/>
    <xf numFmtId="0" fontId="12" fillId="0" borderId="9" xfId="0" applyFont="1" applyFill="1" applyBorder="1"/>
    <xf numFmtId="164" fontId="12" fillId="0" borderId="9" xfId="1" applyNumberFormat="1" applyFont="1" applyFill="1" applyBorder="1"/>
    <xf numFmtId="3" fontId="12" fillId="0" borderId="9" xfId="0" applyNumberFormat="1" applyFont="1" applyFill="1" applyBorder="1"/>
    <xf numFmtId="2" fontId="12" fillId="0" borderId="44" xfId="0" applyNumberFormat="1" applyFont="1" applyFill="1" applyBorder="1"/>
    <xf numFmtId="2" fontId="12" fillId="0" borderId="9" xfId="1" applyNumberFormat="1" applyFont="1" applyFill="1" applyBorder="1" applyAlignment="1">
      <alignment horizontal="right"/>
    </xf>
    <xf numFmtId="3" fontId="12" fillId="0" borderId="9" xfId="0" applyNumberFormat="1" applyFont="1" applyFill="1" applyBorder="1" applyAlignment="1">
      <alignment horizontal="right"/>
    </xf>
    <xf numFmtId="0" fontId="12" fillId="0" borderId="9" xfId="0" applyFont="1" applyFill="1" applyBorder="1" applyAlignment="1">
      <alignment horizontal="center"/>
    </xf>
    <xf numFmtId="2" fontId="13" fillId="0" borderId="9" xfId="0" applyNumberFormat="1" applyFont="1" applyFill="1" applyBorder="1" applyAlignment="1">
      <alignment horizontal="right"/>
    </xf>
    <xf numFmtId="164" fontId="12" fillId="0" borderId="9" xfId="1" applyNumberFormat="1" applyFont="1" applyFill="1" applyBorder="1" applyAlignment="1">
      <alignment horizontal="right"/>
    </xf>
    <xf numFmtId="2" fontId="13" fillId="0" borderId="44" xfId="1" applyNumberFormat="1" applyFont="1" applyFill="1" applyBorder="1" applyAlignment="1">
      <alignment horizontal="right"/>
    </xf>
    <xf numFmtId="2" fontId="12" fillId="0" borderId="9" xfId="0" applyNumberFormat="1" applyFont="1" applyFill="1" applyBorder="1" applyAlignment="1">
      <alignment horizontal="right"/>
    </xf>
    <xf numFmtId="2" fontId="13" fillId="0" borderId="44" xfId="0" applyNumberFormat="1" applyFont="1" applyFill="1" applyBorder="1" applyAlignment="1">
      <alignment horizontal="right"/>
    </xf>
    <xf numFmtId="0" fontId="12" fillId="0" borderId="9" xfId="0" quotePrefix="1" applyFont="1" applyFill="1" applyBorder="1" applyAlignment="1">
      <alignment horizontal="center"/>
    </xf>
    <xf numFmtId="2" fontId="13" fillId="0" borderId="9" xfId="0" quotePrefix="1" applyNumberFormat="1" applyFont="1" applyFill="1" applyBorder="1" applyAlignment="1">
      <alignment horizontal="right"/>
    </xf>
    <xf numFmtId="0" fontId="12" fillId="0" borderId="9" xfId="0" applyFont="1" applyFill="1" applyBorder="1" applyAlignment="1">
      <alignment readingOrder="1"/>
    </xf>
    <xf numFmtId="2" fontId="12" fillId="0" borderId="9" xfId="0" applyNumberFormat="1" applyFont="1" applyFill="1" applyBorder="1" applyAlignment="1">
      <alignment horizontal="right" readingOrder="1"/>
    </xf>
    <xf numFmtId="2" fontId="13" fillId="0" borderId="44" xfId="0" applyNumberFormat="1" applyFont="1" applyFill="1" applyBorder="1" applyAlignment="1">
      <alignment horizontal="right" readingOrder="1"/>
    </xf>
    <xf numFmtId="164" fontId="12" fillId="0" borderId="9" xfId="0" applyNumberFormat="1" applyFont="1" applyFill="1" applyBorder="1"/>
    <xf numFmtId="0" fontId="31" fillId="0" borderId="43" xfId="0" applyFont="1" applyFill="1" applyBorder="1"/>
    <xf numFmtId="4" fontId="12" fillId="0" borderId="9" xfId="0" applyNumberFormat="1" applyFont="1" applyFill="1" applyBorder="1"/>
    <xf numFmtId="2" fontId="31" fillId="0" borderId="44" xfId="0" applyNumberFormat="1" applyFont="1" applyFill="1" applyBorder="1" applyAlignment="1">
      <alignment horizontal="right"/>
    </xf>
    <xf numFmtId="0" fontId="31" fillId="0" borderId="45" xfId="0" applyFont="1" applyFill="1" applyBorder="1"/>
    <xf numFmtId="0" fontId="24" fillId="0" borderId="20" xfId="0" applyFont="1" applyFill="1" applyBorder="1"/>
    <xf numFmtId="164" fontId="24" fillId="0" borderId="20" xfId="0" applyNumberFormat="1" applyFont="1" applyFill="1" applyBorder="1"/>
    <xf numFmtId="0" fontId="12" fillId="0" borderId="20" xfId="0" applyFont="1" applyFill="1" applyBorder="1"/>
    <xf numFmtId="2" fontId="31" fillId="0" borderId="46" xfId="0" applyNumberFormat="1" applyFont="1" applyFill="1" applyBorder="1" applyAlignment="1">
      <alignment horizontal="right"/>
    </xf>
    <xf numFmtId="0" fontId="31" fillId="4" borderId="66" xfId="0" applyFont="1" applyFill="1" applyBorder="1"/>
    <xf numFmtId="0" fontId="31" fillId="4" borderId="21" xfId="0" applyFont="1" applyFill="1" applyBorder="1"/>
    <xf numFmtId="2" fontId="24" fillId="4" borderId="67" xfId="0" applyNumberFormat="1" applyFont="1" applyFill="1" applyBorder="1"/>
    <xf numFmtId="0" fontId="0" fillId="0" borderId="0" xfId="0" quotePrefix="1"/>
    <xf numFmtId="164" fontId="4" fillId="0" borderId="44" xfId="1" applyNumberFormat="1" applyFont="1" applyBorder="1"/>
    <xf numFmtId="164" fontId="12" fillId="0" borderId="0" xfId="0" applyNumberFormat="1" applyFont="1" applyBorder="1" applyAlignment="1">
      <alignment horizontal="right"/>
    </xf>
    <xf numFmtId="164" fontId="12" fillId="0" borderId="25" xfId="0" applyNumberFormat="1" applyFont="1" applyBorder="1" applyAlignment="1">
      <alignment horizontal="right"/>
    </xf>
    <xf numFmtId="9" fontId="12" fillId="0" borderId="52" xfId="1" applyNumberFormat="1" applyFont="1" applyBorder="1" applyAlignment="1">
      <alignment horizontal="right"/>
    </xf>
    <xf numFmtId="9" fontId="12" fillId="0" borderId="54" xfId="1" applyNumberFormat="1" applyFont="1" applyBorder="1" applyAlignment="1">
      <alignment horizontal="right"/>
    </xf>
    <xf numFmtId="0" fontId="11" fillId="0" borderId="0" xfId="0" applyFont="1" applyFill="1" applyBorder="1" applyAlignment="1">
      <alignment readingOrder="1"/>
    </xf>
    <xf numFmtId="3" fontId="13" fillId="0" borderId="0" xfId="0" applyNumberFormat="1" applyFont="1" applyFill="1" applyBorder="1" applyAlignment="1">
      <alignment horizontal="right" readingOrder="1"/>
    </xf>
    <xf numFmtId="3" fontId="13" fillId="0" borderId="44" xfId="0" applyNumberFormat="1" applyFont="1" applyBorder="1" applyAlignment="1">
      <alignment horizontal="right" readingOrder="1"/>
    </xf>
    <xf numFmtId="164" fontId="13" fillId="0" borderId="9" xfId="1" applyNumberFormat="1" applyFont="1" applyBorder="1" applyAlignment="1">
      <alignment horizontal="right" readingOrder="1"/>
    </xf>
    <xf numFmtId="164" fontId="13" fillId="0" borderId="44" xfId="1" applyNumberFormat="1" applyFont="1" applyBorder="1" applyAlignment="1">
      <alignment horizontal="right" readingOrder="1"/>
    </xf>
    <xf numFmtId="164" fontId="31" fillId="4" borderId="9" xfId="1" applyNumberFormat="1" applyFont="1" applyFill="1" applyBorder="1" applyAlignment="1">
      <alignment horizontal="right" readingOrder="1"/>
    </xf>
    <xf numFmtId="164" fontId="31" fillId="4" borderId="44" xfId="1" applyNumberFormat="1" applyFont="1" applyFill="1" applyBorder="1" applyAlignment="1">
      <alignment horizontal="right" readingOrder="1"/>
    </xf>
    <xf numFmtId="164" fontId="13" fillId="4" borderId="9" xfId="1" applyNumberFormat="1" applyFont="1" applyFill="1" applyBorder="1" applyAlignment="1">
      <alignment horizontal="right" readingOrder="1"/>
    </xf>
    <xf numFmtId="164" fontId="13" fillId="4" borderId="44" xfId="1" applyNumberFormat="1" applyFont="1" applyFill="1" applyBorder="1" applyAlignment="1">
      <alignment horizontal="right" readingOrder="1"/>
    </xf>
    <xf numFmtId="164" fontId="31" fillId="4" borderId="20" xfId="1" applyNumberFormat="1" applyFont="1" applyFill="1" applyBorder="1" applyAlignment="1">
      <alignment horizontal="right" readingOrder="1"/>
    </xf>
    <xf numFmtId="164" fontId="31" fillId="4" borderId="46" xfId="1" applyNumberFormat="1" applyFont="1" applyFill="1" applyBorder="1" applyAlignment="1">
      <alignment horizontal="right" readingOrder="1"/>
    </xf>
    <xf numFmtId="0" fontId="35" fillId="0" borderId="0" xfId="0" applyFont="1"/>
    <xf numFmtId="0" fontId="36" fillId="0" borderId="0" xfId="0" applyFont="1" applyAlignment="1">
      <alignment horizontal="right"/>
    </xf>
    <xf numFmtId="164" fontId="13" fillId="0" borderId="9" xfId="1" applyNumberFormat="1" applyFont="1" applyBorder="1"/>
    <xf numFmtId="164" fontId="13" fillId="0" borderId="44" xfId="1" applyNumberFormat="1" applyFont="1" applyBorder="1"/>
    <xf numFmtId="3" fontId="30" fillId="0" borderId="0" xfId="0" applyNumberFormat="1" applyFont="1" applyBorder="1" applyAlignment="1">
      <alignment horizontal="right" readingOrder="1"/>
    </xf>
    <xf numFmtId="0" fontId="11" fillId="0" borderId="68" xfId="0" applyFont="1" applyBorder="1" applyAlignment="1">
      <alignment readingOrder="1"/>
    </xf>
    <xf numFmtId="0" fontId="11" fillId="0" borderId="2" xfId="0" applyFont="1" applyBorder="1" applyAlignment="1">
      <alignment readingOrder="1"/>
    </xf>
    <xf numFmtId="3" fontId="30" fillId="0" borderId="2" xfId="0" applyNumberFormat="1" applyFont="1" applyBorder="1" applyAlignment="1">
      <alignment horizontal="right" readingOrder="1"/>
    </xf>
    <xf numFmtId="3" fontId="30" fillId="0" borderId="69" xfId="0" applyNumberFormat="1" applyFont="1" applyBorder="1" applyAlignment="1">
      <alignment horizontal="right" readingOrder="1"/>
    </xf>
    <xf numFmtId="164" fontId="13" fillId="0" borderId="2" xfId="1" applyNumberFormat="1" applyFont="1" applyBorder="1" applyAlignment="1">
      <alignment horizontal="right" readingOrder="1"/>
    </xf>
    <xf numFmtId="164" fontId="13" fillId="0" borderId="69" xfId="1" applyNumberFormat="1" applyFont="1" applyBorder="1" applyAlignment="1">
      <alignment horizontal="right" readingOrder="1"/>
    </xf>
    <xf numFmtId="0" fontId="31" fillId="0" borderId="9" xfId="0" applyFont="1" applyBorder="1"/>
    <xf numFmtId="0" fontId="5" fillId="0" borderId="70" xfId="0" applyFont="1" applyBorder="1" applyAlignment="1">
      <alignment horizontal="right"/>
    </xf>
    <xf numFmtId="164" fontId="5" fillId="0" borderId="70" xfId="0" applyNumberFormat="1" applyFont="1" applyBorder="1" applyAlignment="1">
      <alignment horizontal="right"/>
    </xf>
    <xf numFmtId="164" fontId="13" fillId="0" borderId="9" xfId="0" applyNumberFormat="1" applyFont="1" applyBorder="1"/>
    <xf numFmtId="3" fontId="4" fillId="0" borderId="9" xfId="0" applyNumberFormat="1" applyFont="1" applyBorder="1" applyAlignment="1">
      <alignment horizontal="right" readingOrder="1"/>
    </xf>
    <xf numFmtId="3" fontId="4" fillId="0" borderId="44" xfId="0" applyNumberFormat="1" applyFont="1" applyBorder="1" applyAlignment="1">
      <alignment horizontal="right" readingOrder="1"/>
    </xf>
    <xf numFmtId="164" fontId="13" fillId="0" borderId="0" xfId="0" applyNumberFormat="1" applyFont="1" applyBorder="1"/>
    <xf numFmtId="164" fontId="12" fillId="0" borderId="20" xfId="0" applyNumberFormat="1" applyFont="1" applyBorder="1"/>
    <xf numFmtId="0" fontId="11" fillId="4" borderId="43" xfId="0" applyFont="1" applyFill="1" applyBorder="1" applyAlignment="1">
      <alignment readingOrder="1"/>
    </xf>
    <xf numFmtId="3" fontId="11" fillId="4" borderId="9" xfId="0" applyNumberFormat="1" applyFont="1" applyFill="1" applyBorder="1" applyAlignment="1">
      <alignment horizontal="right" readingOrder="1"/>
    </xf>
    <xf numFmtId="3" fontId="11" fillId="4" borderId="44" xfId="0" applyNumberFormat="1" applyFont="1" applyFill="1" applyBorder="1" applyAlignment="1">
      <alignment horizontal="right" readingOrder="1"/>
    </xf>
    <xf numFmtId="0" fontId="11" fillId="0" borderId="68" xfId="0" applyFont="1" applyBorder="1" applyAlignment="1">
      <alignment horizontal="left" readingOrder="1"/>
    </xf>
    <xf numFmtId="0" fontId="13" fillId="0" borderId="2" xfId="0" applyFont="1" applyBorder="1" applyAlignment="1">
      <alignment horizontal="right" readingOrder="1"/>
    </xf>
    <xf numFmtId="3" fontId="11" fillId="3" borderId="9" xfId="0" applyNumberFormat="1" applyFont="1" applyFill="1" applyBorder="1" applyAlignment="1">
      <alignment horizontal="center" wrapText="1" readingOrder="1"/>
    </xf>
    <xf numFmtId="3" fontId="4" fillId="0" borderId="0" xfId="0" applyNumberFormat="1" applyFont="1" applyBorder="1"/>
    <xf numFmtId="3" fontId="0" fillId="0" borderId="43" xfId="0" applyNumberFormat="1" applyFont="1" applyBorder="1"/>
    <xf numFmtId="3" fontId="0" fillId="0" borderId="45" xfId="0" applyNumberFormat="1" applyFont="1" applyBorder="1"/>
    <xf numFmtId="0" fontId="0" fillId="0" borderId="20" xfId="0" applyBorder="1"/>
    <xf numFmtId="164" fontId="19" fillId="4" borderId="46" xfId="0" applyNumberFormat="1" applyFont="1" applyFill="1" applyBorder="1" applyAlignment="1">
      <alignment horizontal="right" wrapText="1" readingOrder="1"/>
    </xf>
    <xf numFmtId="0" fontId="12" fillId="0" borderId="9" xfId="0" applyFont="1" applyFill="1" applyBorder="1" applyAlignment="1">
      <alignment horizontal="right"/>
    </xf>
    <xf numFmtId="0" fontId="16" fillId="2" borderId="49" xfId="0" applyFont="1" applyFill="1" applyBorder="1" applyAlignment="1">
      <alignment wrapText="1" readingOrder="1"/>
    </xf>
    <xf numFmtId="0" fontId="16" fillId="2" borderId="12" xfId="0" applyFont="1" applyFill="1" applyBorder="1" applyAlignment="1">
      <alignment wrapText="1" readingOrder="1"/>
    </xf>
    <xf numFmtId="0" fontId="16" fillId="2" borderId="12" xfId="0" applyFont="1" applyFill="1" applyBorder="1" applyAlignment="1">
      <alignment horizontal="right" wrapText="1" readingOrder="1"/>
    </xf>
    <xf numFmtId="0" fontId="16" fillId="2" borderId="47" xfId="0" applyFont="1" applyFill="1" applyBorder="1" applyAlignment="1">
      <alignment wrapText="1" readingOrder="1"/>
    </xf>
    <xf numFmtId="0" fontId="16" fillId="2" borderId="23" xfId="0" applyFont="1" applyFill="1" applyBorder="1" applyAlignment="1">
      <alignment wrapText="1" readingOrder="1"/>
    </xf>
    <xf numFmtId="0" fontId="16" fillId="2" borderId="48" xfId="0" applyFont="1" applyFill="1" applyBorder="1" applyAlignment="1">
      <alignment wrapText="1" readingOrder="1"/>
    </xf>
    <xf numFmtId="0" fontId="16" fillId="2" borderId="50" xfId="0" applyFont="1" applyFill="1" applyBorder="1" applyAlignment="1">
      <alignment wrapText="1" readingOrder="1"/>
    </xf>
    <xf numFmtId="0" fontId="12" fillId="0" borderId="44" xfId="0" applyFont="1" applyFill="1" applyBorder="1"/>
    <xf numFmtId="0" fontId="16" fillId="2" borderId="23" xfId="0" applyFont="1" applyFill="1" applyBorder="1" applyAlignment="1">
      <alignment horizontal="center" wrapText="1" readingOrder="1"/>
    </xf>
    <xf numFmtId="0" fontId="16" fillId="2" borderId="12" xfId="0" applyFont="1" applyFill="1" applyBorder="1" applyAlignment="1">
      <alignment horizontal="center" wrapText="1" readingOrder="1"/>
    </xf>
    <xf numFmtId="168" fontId="12" fillId="0" borderId="9" xfId="0" applyNumberFormat="1" applyFont="1" applyFill="1" applyBorder="1" applyAlignment="1">
      <alignment horizontal="center"/>
    </xf>
    <xf numFmtId="164" fontId="37" fillId="0" borderId="9" xfId="1" applyNumberFormat="1" applyFont="1" applyFill="1" applyBorder="1" applyAlignment="1">
      <alignment horizontal="right"/>
    </xf>
    <xf numFmtId="164" fontId="37" fillId="0" borderId="44" xfId="1" applyNumberFormat="1" applyFont="1" applyFill="1" applyBorder="1" applyAlignment="1">
      <alignment horizontal="right"/>
    </xf>
    <xf numFmtId="164" fontId="14" fillId="0" borderId="9" xfId="1" applyNumberFormat="1" applyFont="1" applyFill="1" applyBorder="1" applyAlignment="1">
      <alignment horizontal="right"/>
    </xf>
    <xf numFmtId="0" fontId="12" fillId="0" borderId="68" xfId="0" applyFont="1" applyFill="1" applyBorder="1"/>
    <xf numFmtId="168" fontId="12" fillId="0" borderId="2" xfId="0" applyNumberFormat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right"/>
    </xf>
    <xf numFmtId="164" fontId="14" fillId="0" borderId="2" xfId="1" applyNumberFormat="1" applyFont="1" applyFill="1" applyBorder="1" applyAlignment="1">
      <alignment horizontal="right"/>
    </xf>
    <xf numFmtId="164" fontId="37" fillId="0" borderId="2" xfId="1" applyNumberFormat="1" applyFont="1" applyFill="1" applyBorder="1" applyAlignment="1">
      <alignment horizontal="right"/>
    </xf>
    <xf numFmtId="164" fontId="37" fillId="0" borderId="69" xfId="1" applyNumberFormat="1" applyFont="1" applyFill="1" applyBorder="1" applyAlignment="1">
      <alignment horizontal="right"/>
    </xf>
    <xf numFmtId="0" fontId="31" fillId="0" borderId="23" xfId="0" applyFont="1" applyFill="1" applyBorder="1"/>
    <xf numFmtId="0" fontId="12" fillId="0" borderId="23" xfId="0" applyFont="1" applyFill="1" applyBorder="1"/>
    <xf numFmtId="164" fontId="12" fillId="0" borderId="23" xfId="1" applyNumberFormat="1" applyFont="1" applyFill="1" applyBorder="1" applyAlignment="1">
      <alignment horizontal="right"/>
    </xf>
    <xf numFmtId="0" fontId="12" fillId="0" borderId="23" xfId="0" applyFont="1" applyFill="1" applyBorder="1" applyAlignment="1">
      <alignment horizontal="center"/>
    </xf>
    <xf numFmtId="0" fontId="31" fillId="0" borderId="41" xfId="0" applyFont="1" applyFill="1" applyBorder="1"/>
    <xf numFmtId="0" fontId="24" fillId="0" borderId="22" xfId="0" applyFont="1" applyFill="1" applyBorder="1"/>
    <xf numFmtId="0" fontId="24" fillId="0" borderId="9" xfId="0" applyFont="1" applyFill="1" applyBorder="1" applyAlignment="1">
      <alignment horizontal="right" readingOrder="1"/>
    </xf>
    <xf numFmtId="164" fontId="13" fillId="0" borderId="22" xfId="0" applyNumberFormat="1" applyFont="1" applyFill="1" applyBorder="1"/>
    <xf numFmtId="164" fontId="13" fillId="0" borderId="42" xfId="0" applyNumberFormat="1" applyFont="1" applyFill="1" applyBorder="1"/>
    <xf numFmtId="164" fontId="13" fillId="0" borderId="9" xfId="0" applyNumberFormat="1" applyFont="1" applyFill="1" applyBorder="1"/>
    <xf numFmtId="164" fontId="13" fillId="0" borderId="44" xfId="0" applyNumberFormat="1" applyFont="1" applyFill="1" applyBorder="1"/>
    <xf numFmtId="164" fontId="13" fillId="0" borderId="9" xfId="0" applyNumberFormat="1" applyFont="1" applyFill="1" applyBorder="1" applyAlignment="1">
      <alignment readingOrder="1"/>
    </xf>
    <xf numFmtId="164" fontId="13" fillId="0" borderId="44" xfId="0" applyNumberFormat="1" applyFont="1" applyFill="1" applyBorder="1" applyAlignment="1">
      <alignment readingOrder="1"/>
    </xf>
    <xf numFmtId="164" fontId="13" fillId="0" borderId="20" xfId="0" applyNumberFormat="1" applyFont="1" applyFill="1" applyBorder="1"/>
    <xf numFmtId="164" fontId="13" fillId="0" borderId="46" xfId="0" applyNumberFormat="1" applyFont="1" applyFill="1" applyBorder="1"/>
    <xf numFmtId="2" fontId="13" fillId="0" borderId="20" xfId="0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168" fontId="12" fillId="0" borderId="0" xfId="0" applyNumberFormat="1" applyFont="1" applyFill="1" applyBorder="1" applyAlignment="1">
      <alignment horizontal="center"/>
    </xf>
    <xf numFmtId="164" fontId="37" fillId="0" borderId="0" xfId="1" applyNumberFormat="1" applyFont="1" applyFill="1" applyBorder="1" applyAlignment="1">
      <alignment horizontal="right"/>
    </xf>
    <xf numFmtId="164" fontId="13" fillId="0" borderId="0" xfId="0" applyNumberFormat="1" applyFont="1" applyFill="1" applyBorder="1"/>
    <xf numFmtId="164" fontId="13" fillId="0" borderId="0" xfId="0" applyNumberFormat="1" applyFont="1" applyFill="1" applyBorder="1" applyAlignment="1">
      <alignment readingOrder="1"/>
    </xf>
    <xf numFmtId="0" fontId="16" fillId="0" borderId="0" xfId="0" applyFont="1" applyFill="1" applyBorder="1" applyAlignment="1">
      <alignment wrapText="1" readingOrder="1"/>
    </xf>
    <xf numFmtId="0" fontId="16" fillId="0" borderId="0" xfId="0" applyFont="1" applyFill="1" applyBorder="1" applyAlignment="1">
      <alignment horizontal="center" wrapText="1" readingOrder="1"/>
    </xf>
    <xf numFmtId="0" fontId="16" fillId="0" borderId="0" xfId="0" applyFont="1" applyFill="1" applyBorder="1" applyAlignment="1">
      <alignment horizontal="right" wrapText="1" readingOrder="1"/>
    </xf>
    <xf numFmtId="14" fontId="2" fillId="0" borderId="0" xfId="0" applyNumberFormat="1" applyFont="1"/>
    <xf numFmtId="0" fontId="6" fillId="0" borderId="0" xfId="0" applyFont="1" applyAlignment="1">
      <alignment horizontal="right"/>
    </xf>
    <xf numFmtId="0" fontId="31" fillId="3" borderId="44" xfId="0" applyFont="1" applyFill="1" applyBorder="1" applyAlignment="1">
      <alignment horizontal="right" vertical="center" wrapText="1"/>
    </xf>
    <xf numFmtId="0" fontId="4" fillId="0" borderId="0" xfId="0" quotePrefix="1" applyFont="1"/>
    <xf numFmtId="0" fontId="215" fillId="78" borderId="88" xfId="2194" applyFont="1" applyFill="1" applyBorder="1"/>
    <xf numFmtId="164" fontId="284" fillId="78" borderId="117" xfId="744" applyNumberFormat="1" applyFont="1" applyFill="1" applyBorder="1" applyAlignment="1">
      <alignment horizontal="center"/>
    </xf>
    <xf numFmtId="164" fontId="284" fillId="78" borderId="76" xfId="744" applyNumberFormat="1" applyFont="1" applyFill="1" applyBorder="1" applyAlignment="1">
      <alignment horizontal="center"/>
    </xf>
    <xf numFmtId="164" fontId="37" fillId="0" borderId="9" xfId="0" applyNumberFormat="1" applyFont="1" applyBorder="1" applyAlignment="1">
      <alignment horizontal="right" readingOrder="1"/>
    </xf>
    <xf numFmtId="10" fontId="5" fillId="0" borderId="69" xfId="0" applyNumberFormat="1" applyFont="1" applyBorder="1"/>
    <xf numFmtId="10" fontId="5" fillId="0" borderId="2" xfId="0" applyNumberFormat="1" applyFont="1" applyBorder="1"/>
    <xf numFmtId="0" fontId="5" fillId="0" borderId="68" xfId="0" applyFont="1" applyBorder="1"/>
    <xf numFmtId="10" fontId="5" fillId="0" borderId="50" xfId="0" applyNumberFormat="1" applyFont="1" applyBorder="1"/>
    <xf numFmtId="10" fontId="5" fillId="0" borderId="12" xfId="0" applyNumberFormat="1" applyFont="1" applyBorder="1"/>
    <xf numFmtId="0" fontId="5" fillId="0" borderId="49" xfId="0" applyFont="1" applyBorder="1"/>
    <xf numFmtId="0" fontId="2" fillId="4" borderId="20" xfId="0" applyFont="1" applyFill="1" applyBorder="1"/>
    <xf numFmtId="3" fontId="31" fillId="4" borderId="67" xfId="0" applyNumberFormat="1" applyFont="1" applyFill="1" applyBorder="1" applyAlignment="1">
      <alignment horizontal="right" readingOrder="1"/>
    </xf>
    <xf numFmtId="0" fontId="24" fillId="4" borderId="21" xfId="0" applyFont="1" applyFill="1" applyBorder="1" applyAlignment="1">
      <alignment horizontal="left" readingOrder="1"/>
    </xf>
    <xf numFmtId="0" fontId="19" fillId="4" borderId="21" xfId="0" applyFont="1" applyFill="1" applyBorder="1" applyAlignment="1">
      <alignment horizontal="left" readingOrder="1"/>
    </xf>
    <xf numFmtId="0" fontId="19" fillId="4" borderId="66" xfId="0" applyFont="1" applyFill="1" applyBorder="1" applyAlignment="1">
      <alignment horizontal="left" readingOrder="1"/>
    </xf>
    <xf numFmtId="3" fontId="19" fillId="4" borderId="54" xfId="0" applyNumberFormat="1" applyFont="1" applyFill="1" applyBorder="1" applyAlignment="1">
      <alignment horizontal="right" readingOrder="1"/>
    </xf>
    <xf numFmtId="0" fontId="24" fillId="4" borderId="25" xfId="0" applyFont="1" applyFill="1" applyBorder="1" applyAlignment="1">
      <alignment horizontal="left" readingOrder="1"/>
    </xf>
    <xf numFmtId="0" fontId="19" fillId="4" borderId="25" xfId="0" applyFont="1" applyFill="1" applyBorder="1" applyAlignment="1">
      <alignment horizontal="left" readingOrder="1"/>
    </xf>
    <xf numFmtId="0" fontId="19" fillId="4" borderId="53" xfId="0" applyFont="1" applyFill="1" applyBorder="1" applyAlignment="1">
      <alignment horizontal="left" readingOrder="1"/>
    </xf>
    <xf numFmtId="3" fontId="19" fillId="0" borderId="67" xfId="0" applyNumberFormat="1" applyFont="1" applyBorder="1" applyAlignment="1">
      <alignment horizontal="right" readingOrder="1"/>
    </xf>
    <xf numFmtId="0" fontId="12" fillId="0" borderId="22" xfId="0" applyFont="1" applyBorder="1" applyAlignment="1">
      <alignment horizontal="left" readingOrder="1"/>
    </xf>
    <xf numFmtId="0" fontId="11" fillId="0" borderId="22" xfId="0" applyFont="1" applyBorder="1" applyAlignment="1">
      <alignment horizontal="left" readingOrder="1"/>
    </xf>
    <xf numFmtId="0" fontId="11" fillId="0" borderId="41" xfId="0" applyFont="1" applyBorder="1" applyAlignment="1">
      <alignment horizontal="left" readingOrder="1"/>
    </xf>
    <xf numFmtId="167" fontId="13" fillId="0" borderId="69" xfId="0" applyNumberFormat="1" applyFont="1" applyBorder="1" applyAlignment="1">
      <alignment horizontal="right"/>
    </xf>
    <xf numFmtId="164" fontId="13" fillId="0" borderId="44" xfId="0" applyNumberFormat="1" applyFont="1" applyBorder="1" applyAlignment="1">
      <alignment horizontal="right"/>
    </xf>
    <xf numFmtId="164" fontId="13" fillId="0" borderId="44" xfId="0" applyNumberFormat="1" applyFont="1" applyBorder="1" applyAlignment="1">
      <alignment horizontal="right" readingOrder="1"/>
    </xf>
    <xf numFmtId="0" fontId="24" fillId="0" borderId="21" xfId="0" applyFont="1" applyBorder="1" applyAlignment="1">
      <alignment horizontal="left" readingOrder="1"/>
    </xf>
    <xf numFmtId="0" fontId="19" fillId="0" borderId="21" xfId="0" applyFont="1" applyBorder="1" applyAlignment="1">
      <alignment horizontal="left" readingOrder="1"/>
    </xf>
    <xf numFmtId="0" fontId="19" fillId="0" borderId="66" xfId="0" applyFont="1" applyBorder="1" applyAlignment="1">
      <alignment horizontal="left" readingOrder="1"/>
    </xf>
    <xf numFmtId="9" fontId="0" fillId="0" borderId="0" xfId="0" applyNumberFormat="1"/>
    <xf numFmtId="165" fontId="22" fillId="0" borderId="44" xfId="0" applyNumberFormat="1" applyFont="1" applyBorder="1" applyAlignment="1">
      <alignment horizontal="right" readingOrder="1"/>
    </xf>
    <xf numFmtId="165" fontId="22" fillId="0" borderId="9" xfId="0" applyNumberFormat="1" applyFont="1" applyBorder="1" applyAlignment="1">
      <alignment horizontal="right" readingOrder="1"/>
    </xf>
    <xf numFmtId="356" fontId="22" fillId="0" borderId="44" xfId="0" applyNumberFormat="1" applyFont="1" applyBorder="1" applyAlignment="1">
      <alignment horizontal="right" readingOrder="1"/>
    </xf>
    <xf numFmtId="356" fontId="22" fillId="0" borderId="9" xfId="0" applyNumberFormat="1" applyFont="1" applyBorder="1" applyAlignment="1">
      <alignment horizontal="right" readingOrder="1"/>
    </xf>
    <xf numFmtId="0" fontId="215" fillId="78" borderId="88" xfId="2194" applyFont="1" applyFill="1" applyBorder="1" applyAlignment="1">
      <alignment horizontal="center"/>
    </xf>
    <xf numFmtId="10" fontId="215" fillId="78" borderId="117" xfId="2194" applyNumberFormat="1" applyFont="1" applyFill="1" applyBorder="1" applyAlignment="1">
      <alignment horizontal="center"/>
    </xf>
    <xf numFmtId="0" fontId="215" fillId="78" borderId="117" xfId="2194" applyFont="1" applyFill="1" applyBorder="1" applyAlignment="1">
      <alignment horizontal="center"/>
    </xf>
    <xf numFmtId="10" fontId="284" fillId="78" borderId="117" xfId="2194" applyNumberFormat="1" applyFont="1" applyFill="1" applyBorder="1" applyAlignment="1">
      <alignment horizontal="center"/>
    </xf>
    <xf numFmtId="10" fontId="284" fillId="78" borderId="76" xfId="2194" applyNumberFormat="1" applyFont="1" applyFill="1" applyBorder="1" applyAlignment="1">
      <alignment horizontal="center"/>
    </xf>
    <xf numFmtId="357" fontId="12" fillId="0" borderId="0" xfId="0" applyNumberFormat="1" applyFont="1" applyAlignment="1">
      <alignment horizontal="right"/>
    </xf>
    <xf numFmtId="358" fontId="12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359" fontId="4" fillId="0" borderId="0" xfId="1" applyNumberFormat="1" applyFont="1"/>
    <xf numFmtId="0" fontId="4" fillId="0" borderId="0" xfId="0" applyFont="1" applyAlignment="1">
      <alignment horizontal="left" vertical="center"/>
    </xf>
    <xf numFmtId="3" fontId="24" fillId="4" borderId="20" xfId="0" applyNumberFormat="1" applyFont="1" applyFill="1" applyBorder="1" applyAlignment="1">
      <alignment horizontal="right" wrapText="1" readingOrder="1"/>
    </xf>
    <xf numFmtId="0" fontId="16" fillId="2" borderId="42" xfId="0" applyFont="1" applyFill="1" applyBorder="1" applyAlignment="1">
      <alignment horizontal="right" readingOrder="1"/>
    </xf>
    <xf numFmtId="359" fontId="12" fillId="0" borderId="46" xfId="0" applyNumberFormat="1" applyFont="1" applyBorder="1" applyAlignment="1">
      <alignment horizontal="right"/>
    </xf>
    <xf numFmtId="37" fontId="4" fillId="0" borderId="42" xfId="0" applyNumberFormat="1" applyFont="1" applyBorder="1"/>
    <xf numFmtId="37" fontId="11" fillId="0" borderId="9" xfId="0" applyNumberFormat="1" applyFont="1" applyBorder="1" applyAlignment="1">
      <alignment horizontal="right" readingOrder="1"/>
    </xf>
    <xf numFmtId="37" fontId="11" fillId="0" borderId="44" xfId="0" applyNumberFormat="1" applyFont="1" applyBorder="1" applyAlignment="1">
      <alignment horizontal="right" readingOrder="1"/>
    </xf>
    <xf numFmtId="37" fontId="11" fillId="0" borderId="46" xfId="0" applyNumberFormat="1" applyFont="1" applyBorder="1" applyAlignment="1">
      <alignment horizontal="right" readingOrder="1"/>
    </xf>
    <xf numFmtId="37" fontId="12" fillId="0" borderId="9" xfId="0" applyNumberFormat="1" applyFont="1" applyBorder="1"/>
    <xf numFmtId="37" fontId="12" fillId="0" borderId="44" xfId="0" applyNumberFormat="1" applyFont="1" applyBorder="1"/>
    <xf numFmtId="37" fontId="31" fillId="0" borderId="9" xfId="0" applyNumberFormat="1" applyFont="1" applyBorder="1"/>
    <xf numFmtId="37" fontId="31" fillId="0" borderId="44" xfId="0" applyNumberFormat="1" applyFont="1" applyBorder="1"/>
    <xf numFmtId="37" fontId="4" fillId="0" borderId="9" xfId="0" applyNumberFormat="1" applyFont="1" applyBorder="1"/>
    <xf numFmtId="37" fontId="4" fillId="0" borderId="44" xfId="0" applyNumberFormat="1" applyFont="1" applyBorder="1"/>
    <xf numFmtId="37" fontId="12" fillId="0" borderId="9" xfId="0" applyNumberFormat="1" applyFont="1" applyBorder="1" applyAlignment="1">
      <alignment horizontal="right" readingOrder="1"/>
    </xf>
    <xf numFmtId="37" fontId="13" fillId="0" borderId="9" xfId="0" applyNumberFormat="1" applyFont="1" applyBorder="1" applyAlignment="1">
      <alignment horizontal="right" readingOrder="1"/>
    </xf>
    <xf numFmtId="37" fontId="13" fillId="0" borderId="44" xfId="0" applyNumberFormat="1" applyFont="1" applyBorder="1" applyAlignment="1">
      <alignment horizontal="right" readingOrder="1"/>
    </xf>
    <xf numFmtId="37" fontId="4" fillId="0" borderId="9" xfId="0" applyNumberFormat="1" applyFont="1" applyBorder="1" applyAlignment="1">
      <alignment horizontal="right" readingOrder="1"/>
    </xf>
    <xf numFmtId="37" fontId="4" fillId="0" borderId="44" xfId="0" applyNumberFormat="1" applyFont="1" applyBorder="1" applyAlignment="1">
      <alignment horizontal="right" readingOrder="1"/>
    </xf>
    <xf numFmtId="37" fontId="31" fillId="0" borderId="9" xfId="0" applyNumberFormat="1" applyFont="1" applyBorder="1" applyAlignment="1">
      <alignment horizontal="right" readingOrder="1"/>
    </xf>
    <xf numFmtId="37" fontId="31" fillId="0" borderId="44" xfId="0" applyNumberFormat="1" applyFont="1" applyBorder="1" applyAlignment="1">
      <alignment horizontal="right" readingOrder="1"/>
    </xf>
    <xf numFmtId="37" fontId="0" fillId="0" borderId="0" xfId="0" applyNumberFormat="1"/>
    <xf numFmtId="37" fontId="11" fillId="0" borderId="43" xfId="0" applyNumberFormat="1" applyFont="1" applyBorder="1" applyAlignment="1">
      <alignment horizontal="left" readingOrder="1"/>
    </xf>
    <xf numFmtId="37" fontId="24" fillId="0" borderId="9" xfId="0" applyNumberFormat="1" applyFont="1" applyBorder="1" applyAlignment="1">
      <alignment horizontal="left" readingOrder="1"/>
    </xf>
    <xf numFmtId="173" fontId="11" fillId="0" borderId="9" xfId="3" applyNumberFormat="1" applyFont="1" applyBorder="1" applyAlignment="1">
      <alignment horizontal="right" readingOrder="1"/>
    </xf>
    <xf numFmtId="173" fontId="11" fillId="0" borderId="44" xfId="3" applyNumberFormat="1" applyFont="1" applyBorder="1" applyAlignment="1">
      <alignment horizontal="right" readingOrder="1"/>
    </xf>
    <xf numFmtId="173" fontId="0" fillId="0" borderId="0" xfId="3" applyNumberFormat="1" applyFont="1"/>
    <xf numFmtId="173" fontId="11" fillId="0" borderId="43" xfId="3" applyNumberFormat="1" applyFont="1" applyBorder="1" applyAlignment="1">
      <alignment horizontal="left" readingOrder="1"/>
    </xf>
    <xf numFmtId="173" fontId="24" fillId="0" borderId="9" xfId="3" applyNumberFormat="1" applyFont="1" applyBorder="1" applyAlignment="1">
      <alignment horizontal="left" readingOrder="1"/>
    </xf>
    <xf numFmtId="359" fontId="4" fillId="0" borderId="9" xfId="0" applyNumberFormat="1" applyFont="1" applyBorder="1"/>
    <xf numFmtId="359" fontId="4" fillId="0" borderId="44" xfId="0" applyNumberFormat="1" applyFont="1" applyBorder="1"/>
    <xf numFmtId="359" fontId="4" fillId="0" borderId="20" xfId="0" applyNumberFormat="1" applyFont="1" applyBorder="1"/>
    <xf numFmtId="359" fontId="4" fillId="0" borderId="46" xfId="0" applyNumberFormat="1" applyFont="1" applyBorder="1"/>
    <xf numFmtId="359" fontId="4" fillId="0" borderId="0" xfId="0" applyNumberFormat="1" applyFont="1" applyBorder="1"/>
    <xf numFmtId="359" fontId="4" fillId="0" borderId="25" xfId="0" applyNumberFormat="1" applyFont="1" applyBorder="1"/>
    <xf numFmtId="359" fontId="13" fillId="0" borderId="9" xfId="1" applyNumberFormat="1" applyFont="1" applyBorder="1"/>
    <xf numFmtId="359" fontId="13" fillId="0" borderId="44" xfId="1" applyNumberFormat="1" applyFont="1" applyBorder="1"/>
    <xf numFmtId="359" fontId="4" fillId="0" borderId="0" xfId="0" applyNumberFormat="1" applyFont="1"/>
    <xf numFmtId="359" fontId="5" fillId="0" borderId="70" xfId="0" applyNumberFormat="1" applyFont="1" applyBorder="1" applyAlignment="1">
      <alignment horizontal="right"/>
    </xf>
    <xf numFmtId="359" fontId="31" fillId="0" borderId="9" xfId="1" applyNumberFormat="1" applyFont="1" applyBorder="1"/>
    <xf numFmtId="359" fontId="31" fillId="0" borderId="44" xfId="1" applyNumberFormat="1" applyFont="1" applyBorder="1"/>
    <xf numFmtId="359" fontId="5" fillId="0" borderId="20" xfId="1" applyNumberFormat="1" applyFont="1" applyBorder="1"/>
    <xf numFmtId="359" fontId="5" fillId="0" borderId="46" xfId="1" applyNumberFormat="1" applyFont="1" applyBorder="1"/>
    <xf numFmtId="359" fontId="13" fillId="0" borderId="9" xfId="1" applyNumberFormat="1" applyFont="1" applyBorder="1" applyAlignment="1">
      <alignment horizontal="right" readingOrder="1"/>
    </xf>
    <xf numFmtId="359" fontId="13" fillId="0" borderId="44" xfId="1" applyNumberFormat="1" applyFont="1" applyBorder="1" applyAlignment="1">
      <alignment horizontal="right" readingOrder="1"/>
    </xf>
    <xf numFmtId="359" fontId="13" fillId="0" borderId="44" xfId="0" applyNumberFormat="1" applyFont="1" applyBorder="1"/>
    <xf numFmtId="359" fontId="13" fillId="0" borderId="46" xfId="0" applyNumberFormat="1" applyFont="1" applyBorder="1"/>
    <xf numFmtId="0" fontId="16" fillId="2" borderId="41" xfId="0" applyFont="1" applyFill="1" applyBorder="1" applyAlignment="1">
      <alignment horizontal="left" readingOrder="1"/>
    </xf>
    <xf numFmtId="0" fontId="27" fillId="0" borderId="0" xfId="0" applyFont="1" applyBorder="1"/>
    <xf numFmtId="0" fontId="2" fillId="0" borderId="0" xfId="0" quotePrefix="1" applyFont="1"/>
    <xf numFmtId="0" fontId="27" fillId="0" borderId="43" xfId="0" applyFont="1" applyBorder="1"/>
    <xf numFmtId="0" fontId="27" fillId="0" borderId="9" xfId="0" applyFont="1" applyBorder="1"/>
    <xf numFmtId="0" fontId="27" fillId="0" borderId="45" xfId="0" applyFont="1" applyBorder="1"/>
    <xf numFmtId="0" fontId="27" fillId="0" borderId="20" xfId="0" applyFont="1" applyBorder="1"/>
    <xf numFmtId="0" fontId="285" fillId="2" borderId="22" xfId="0" applyFont="1" applyFill="1" applyBorder="1" applyAlignment="1">
      <alignment horizontal="center" wrapText="1" readingOrder="1"/>
    </xf>
    <xf numFmtId="0" fontId="29" fillId="3" borderId="43" xfId="0" applyFont="1" applyFill="1" applyBorder="1" applyAlignment="1">
      <alignment vertical="center" wrapText="1"/>
    </xf>
    <xf numFmtId="0" fontId="287" fillId="3" borderId="9" xfId="0" applyFont="1" applyFill="1" applyBorder="1" applyAlignment="1">
      <alignment horizontal="left" wrapText="1" readingOrder="1"/>
    </xf>
    <xf numFmtId="0" fontId="288" fillId="3" borderId="9" xfId="0" applyFont="1" applyFill="1" applyBorder="1" applyAlignment="1">
      <alignment horizontal="left" wrapText="1" readingOrder="1"/>
    </xf>
    <xf numFmtId="0" fontId="287" fillId="3" borderId="9" xfId="0" applyFont="1" applyFill="1" applyBorder="1" applyAlignment="1">
      <alignment horizontal="center" wrapText="1" readingOrder="1"/>
    </xf>
    <xf numFmtId="166" fontId="287" fillId="3" borderId="9" xfId="0" applyNumberFormat="1" applyFont="1" applyFill="1" applyBorder="1" applyAlignment="1">
      <alignment horizontal="right" wrapText="1" readingOrder="1"/>
    </xf>
    <xf numFmtId="166" fontId="287" fillId="3" borderId="44" xfId="0" applyNumberFormat="1" applyFont="1" applyFill="1" applyBorder="1" applyAlignment="1">
      <alignment horizontal="right" wrapText="1" readingOrder="1"/>
    </xf>
    <xf numFmtId="0" fontId="289" fillId="0" borderId="43" xfId="0" applyFont="1" applyBorder="1" applyAlignment="1">
      <alignment readingOrder="1"/>
    </xf>
    <xf numFmtId="0" fontId="289" fillId="0" borderId="9" xfId="0" applyFont="1" applyBorder="1" applyAlignment="1">
      <alignment readingOrder="1"/>
    </xf>
    <xf numFmtId="164" fontId="290" fillId="0" borderId="9" xfId="0" applyNumberFormat="1" applyFont="1" applyBorder="1" applyAlignment="1">
      <alignment horizontal="right" readingOrder="1"/>
    </xf>
    <xf numFmtId="3" fontId="289" fillId="0" borderId="9" xfId="0" applyNumberFormat="1" applyFont="1" applyBorder="1" applyAlignment="1">
      <alignment horizontal="right" readingOrder="1"/>
    </xf>
    <xf numFmtId="3" fontId="289" fillId="0" borderId="44" xfId="0" applyNumberFormat="1" applyFont="1" applyBorder="1" applyAlignment="1">
      <alignment horizontal="right" readingOrder="1"/>
    </xf>
    <xf numFmtId="0" fontId="291" fillId="0" borderId="43" xfId="0" applyFont="1" applyBorder="1" applyAlignment="1">
      <alignment readingOrder="1"/>
    </xf>
    <xf numFmtId="0" fontId="291" fillId="0" borderId="9" xfId="0" applyFont="1" applyBorder="1" applyAlignment="1">
      <alignment readingOrder="1"/>
    </xf>
    <xf numFmtId="164" fontId="292" fillId="0" borderId="9" xfId="0" applyNumberFormat="1" applyFont="1" applyBorder="1" applyAlignment="1">
      <alignment horizontal="right" readingOrder="1"/>
    </xf>
    <xf numFmtId="0" fontId="289" fillId="0" borderId="9" xfId="0" applyFont="1" applyBorder="1" applyAlignment="1">
      <alignment horizontal="left" readingOrder="1"/>
    </xf>
    <xf numFmtId="0" fontId="289" fillId="0" borderId="43" xfId="0" applyFont="1" applyBorder="1" applyAlignment="1">
      <alignment horizontal="left" readingOrder="1"/>
    </xf>
    <xf numFmtId="164" fontId="293" fillId="0" borderId="9" xfId="0" applyNumberFormat="1" applyFont="1" applyBorder="1" applyAlignment="1">
      <alignment horizontal="right" readingOrder="1"/>
    </xf>
    <xf numFmtId="10" fontId="293" fillId="0" borderId="9" xfId="0" applyNumberFormat="1" applyFont="1" applyBorder="1" applyAlignment="1">
      <alignment horizontal="right" readingOrder="1"/>
    </xf>
    <xf numFmtId="37" fontId="289" fillId="0" borderId="9" xfId="0" applyNumberFormat="1" applyFont="1" applyBorder="1" applyAlignment="1">
      <alignment horizontal="right" readingOrder="1"/>
    </xf>
    <xf numFmtId="37" fontId="289" fillId="0" borderId="44" xfId="0" applyNumberFormat="1" applyFont="1" applyBorder="1" applyAlignment="1">
      <alignment horizontal="right" readingOrder="1"/>
    </xf>
    <xf numFmtId="0" fontId="291" fillId="4" borderId="43" xfId="0" applyFont="1" applyFill="1" applyBorder="1" applyAlignment="1">
      <alignment readingOrder="1"/>
    </xf>
    <xf numFmtId="0" fontId="291" fillId="4" borderId="9" xfId="0" applyFont="1" applyFill="1" applyBorder="1" applyAlignment="1">
      <alignment readingOrder="1"/>
    </xf>
    <xf numFmtId="0" fontId="286" fillId="4" borderId="9" xfId="0" applyFont="1" applyFill="1" applyBorder="1" applyAlignment="1">
      <alignment horizontal="left" readingOrder="1"/>
    </xf>
    <xf numFmtId="3" fontId="291" fillId="4" borderId="9" xfId="0" applyNumberFormat="1" applyFont="1" applyFill="1" applyBorder="1" applyAlignment="1">
      <alignment horizontal="right" readingOrder="1"/>
    </xf>
    <xf numFmtId="3" fontId="291" fillId="4" borderId="44" xfId="0" applyNumberFormat="1" applyFont="1" applyFill="1" applyBorder="1" applyAlignment="1">
      <alignment horizontal="right" readingOrder="1"/>
    </xf>
    <xf numFmtId="0" fontId="291" fillId="0" borderId="43" xfId="0" applyFont="1" applyBorder="1" applyAlignment="1">
      <alignment horizontal="left" readingOrder="1"/>
    </xf>
    <xf numFmtId="0" fontId="286" fillId="0" borderId="9" xfId="0" applyFont="1" applyBorder="1" applyAlignment="1">
      <alignment horizontal="left" readingOrder="1"/>
    </xf>
    <xf numFmtId="0" fontId="289" fillId="0" borderId="9" xfId="0" applyFont="1" applyBorder="1" applyAlignment="1">
      <alignment horizontal="right" readingOrder="1"/>
    </xf>
    <xf numFmtId="0" fontId="289" fillId="0" borderId="44" xfId="0" applyFont="1" applyBorder="1" applyAlignment="1">
      <alignment horizontal="right" readingOrder="1"/>
    </xf>
    <xf numFmtId="165" fontId="289" fillId="0" borderId="9" xfId="0" applyNumberFormat="1" applyFont="1" applyBorder="1" applyAlignment="1">
      <alignment horizontal="right" readingOrder="1"/>
    </xf>
    <xf numFmtId="165" fontId="289" fillId="0" borderId="44" xfId="0" applyNumberFormat="1" applyFont="1" applyBorder="1" applyAlignment="1">
      <alignment horizontal="right" readingOrder="1"/>
    </xf>
    <xf numFmtId="0" fontId="289" fillId="4" borderId="9" xfId="0" applyFont="1" applyFill="1" applyBorder="1" applyAlignment="1">
      <alignment horizontal="left" readingOrder="1"/>
    </xf>
    <xf numFmtId="0" fontId="27" fillId="0" borderId="46" xfId="0" applyFont="1" applyBorder="1"/>
    <xf numFmtId="0" fontId="27" fillId="0" borderId="41" xfId="0" applyFont="1" applyBorder="1"/>
    <xf numFmtId="0" fontId="27" fillId="0" borderId="22" xfId="0" applyFont="1" applyBorder="1"/>
    <xf numFmtId="3" fontId="27" fillId="0" borderId="42" xfId="0" applyNumberFormat="1" applyFont="1" applyBorder="1"/>
    <xf numFmtId="3" fontId="27" fillId="0" borderId="44" xfId="0" applyNumberFormat="1" applyFont="1" applyBorder="1"/>
    <xf numFmtId="0" fontId="295" fillId="4" borderId="45" xfId="0" applyFont="1" applyFill="1" applyBorder="1"/>
    <xf numFmtId="0" fontId="295" fillId="4" borderId="20" xfId="0" applyFont="1" applyFill="1" applyBorder="1"/>
    <xf numFmtId="3" fontId="295" fillId="4" borderId="46" xfId="0" applyNumberFormat="1" applyFont="1" applyFill="1" applyBorder="1"/>
    <xf numFmtId="164" fontId="27" fillId="0" borderId="0" xfId="1" applyNumberFormat="1" applyFont="1"/>
    <xf numFmtId="0" fontId="296" fillId="2" borderId="22" xfId="0" applyFont="1" applyFill="1" applyBorder="1" applyAlignment="1">
      <alignment horizontal="center" wrapText="1" readingOrder="1"/>
    </xf>
    <xf numFmtId="0" fontId="68" fillId="3" borderId="43" xfId="0" applyFont="1" applyFill="1" applyBorder="1" applyAlignment="1">
      <alignment vertical="center" wrapText="1"/>
    </xf>
    <xf numFmtId="0" fontId="297" fillId="3" borderId="9" xfId="0" applyFont="1" applyFill="1" applyBorder="1" applyAlignment="1">
      <alignment horizontal="left" wrapText="1" readingOrder="1"/>
    </xf>
    <xf numFmtId="0" fontId="298" fillId="3" borderId="9" xfId="0" applyFont="1" applyFill="1" applyBorder="1" applyAlignment="1">
      <alignment horizontal="left" wrapText="1" readingOrder="1"/>
    </xf>
    <xf numFmtId="0" fontId="297" fillId="3" borderId="9" xfId="0" applyFont="1" applyFill="1" applyBorder="1" applyAlignment="1">
      <alignment horizontal="center" wrapText="1" readingOrder="1"/>
    </xf>
    <xf numFmtId="166" fontId="297" fillId="3" borderId="9" xfId="0" applyNumberFormat="1" applyFont="1" applyFill="1" applyBorder="1" applyAlignment="1">
      <alignment horizontal="right" wrapText="1" readingOrder="1"/>
    </xf>
    <xf numFmtId="166" fontId="297" fillId="3" borderId="44" xfId="0" applyNumberFormat="1" applyFont="1" applyFill="1" applyBorder="1" applyAlignment="1">
      <alignment horizontal="right" wrapText="1" readingOrder="1"/>
    </xf>
    <xf numFmtId="0" fontId="299" fillId="0" borderId="43" xfId="0" applyFont="1" applyBorder="1" applyAlignment="1">
      <alignment readingOrder="1"/>
    </xf>
    <xf numFmtId="0" fontId="299" fillId="0" borderId="9" xfId="0" applyFont="1" applyBorder="1" applyAlignment="1">
      <alignment readingOrder="1"/>
    </xf>
    <xf numFmtId="164" fontId="300" fillId="0" borderId="9" xfId="0" applyNumberFormat="1" applyFont="1" applyBorder="1" applyAlignment="1">
      <alignment horizontal="right" readingOrder="1"/>
    </xf>
    <xf numFmtId="3" fontId="299" fillId="0" borderId="9" xfId="3" applyNumberFormat="1" applyFont="1" applyBorder="1" applyAlignment="1">
      <alignment horizontal="right" readingOrder="1"/>
    </xf>
    <xf numFmtId="3" fontId="299" fillId="0" borderId="9" xfId="0" applyNumberFormat="1" applyFont="1" applyBorder="1" applyAlignment="1">
      <alignment horizontal="right" readingOrder="1"/>
    </xf>
    <xf numFmtId="3" fontId="299" fillId="0" borderId="44" xfId="0" applyNumberFormat="1" applyFont="1" applyBorder="1" applyAlignment="1">
      <alignment horizontal="right" readingOrder="1"/>
    </xf>
    <xf numFmtId="37" fontId="299" fillId="0" borderId="9" xfId="3" applyNumberFormat="1" applyFont="1" applyBorder="1" applyAlignment="1">
      <alignment horizontal="right" readingOrder="1"/>
    </xf>
    <xf numFmtId="37" fontId="299" fillId="0" borderId="44" xfId="3" applyNumberFormat="1" applyFont="1" applyBorder="1" applyAlignment="1">
      <alignment horizontal="right" readingOrder="1"/>
    </xf>
    <xf numFmtId="0" fontId="301" fillId="0" borderId="43" xfId="0" applyFont="1" applyBorder="1" applyAlignment="1">
      <alignment readingOrder="1"/>
    </xf>
    <xf numFmtId="0" fontId="301" fillId="0" borderId="9" xfId="0" applyFont="1" applyBorder="1" applyAlignment="1">
      <alignment readingOrder="1"/>
    </xf>
    <xf numFmtId="164" fontId="302" fillId="0" borderId="9" xfId="0" applyNumberFormat="1" applyFont="1" applyBorder="1" applyAlignment="1">
      <alignment horizontal="right" readingOrder="1"/>
    </xf>
    <xf numFmtId="3" fontId="301" fillId="0" borderId="9" xfId="3" applyNumberFormat="1" applyFont="1" applyBorder="1" applyAlignment="1">
      <alignment horizontal="right" readingOrder="1"/>
    </xf>
    <xf numFmtId="3" fontId="301" fillId="0" borderId="44" xfId="3" applyNumberFormat="1" applyFont="1" applyBorder="1" applyAlignment="1">
      <alignment horizontal="right" readingOrder="1"/>
    </xf>
    <xf numFmtId="0" fontId="299" fillId="0" borderId="9" xfId="0" applyFont="1" applyBorder="1" applyAlignment="1">
      <alignment horizontal="left" readingOrder="1"/>
    </xf>
    <xf numFmtId="3" fontId="301" fillId="0" borderId="9" xfId="0" applyNumberFormat="1" applyFont="1" applyBorder="1" applyAlignment="1">
      <alignment horizontal="right" readingOrder="1"/>
    </xf>
    <xf numFmtId="3" fontId="301" fillId="0" borderId="44" xfId="0" applyNumberFormat="1" applyFont="1" applyBorder="1" applyAlignment="1">
      <alignment horizontal="right" readingOrder="1"/>
    </xf>
    <xf numFmtId="0" fontId="299" fillId="0" borderId="43" xfId="0" applyFont="1" applyBorder="1" applyAlignment="1">
      <alignment horizontal="left" readingOrder="1"/>
    </xf>
    <xf numFmtId="164" fontId="303" fillId="0" borderId="9" xfId="0" applyNumberFormat="1" applyFont="1" applyBorder="1" applyAlignment="1">
      <alignment horizontal="right" readingOrder="1"/>
    </xf>
    <xf numFmtId="0" fontId="303" fillId="0" borderId="9" xfId="0" applyFont="1" applyBorder="1" applyAlignment="1">
      <alignment horizontal="left" readingOrder="1"/>
    </xf>
    <xf numFmtId="10" fontId="303" fillId="0" borderId="9" xfId="0" applyNumberFormat="1" applyFont="1" applyBorder="1" applyAlignment="1">
      <alignment horizontal="right" readingOrder="1"/>
    </xf>
    <xf numFmtId="0" fontId="304" fillId="0" borderId="9" xfId="0" applyFont="1" applyBorder="1"/>
    <xf numFmtId="3" fontId="305" fillId="0" borderId="9" xfId="0" applyNumberFormat="1" applyFont="1" applyBorder="1"/>
    <xf numFmtId="3" fontId="305" fillId="0" borderId="44" xfId="0" applyNumberFormat="1" applyFont="1" applyBorder="1"/>
    <xf numFmtId="37" fontId="299" fillId="0" borderId="9" xfId="0" applyNumberFormat="1" applyFont="1" applyBorder="1" applyAlignment="1">
      <alignment horizontal="right" readingOrder="1"/>
    </xf>
    <xf numFmtId="37" fontId="299" fillId="0" borderId="44" xfId="0" applyNumberFormat="1" applyFont="1" applyBorder="1" applyAlignment="1">
      <alignment horizontal="right" readingOrder="1"/>
    </xf>
    <xf numFmtId="0" fontId="301" fillId="4" borderId="43" xfId="0" applyFont="1" applyFill="1" applyBorder="1" applyAlignment="1">
      <alignment readingOrder="1"/>
    </xf>
    <xf numFmtId="0" fontId="301" fillId="4" borderId="9" xfId="0" applyFont="1" applyFill="1" applyBorder="1" applyAlignment="1">
      <alignment readingOrder="1"/>
    </xf>
    <xf numFmtId="0" fontId="306" fillId="4" borderId="9" xfId="0" applyFont="1" applyFill="1" applyBorder="1" applyAlignment="1">
      <alignment horizontal="left" readingOrder="1"/>
    </xf>
    <xf numFmtId="3" fontId="301" fillId="4" borderId="9" xfId="0" applyNumberFormat="1" applyFont="1" applyFill="1" applyBorder="1" applyAlignment="1">
      <alignment horizontal="right" readingOrder="1"/>
    </xf>
    <xf numFmtId="3" fontId="301" fillId="4" borderId="44" xfId="0" applyNumberFormat="1" applyFont="1" applyFill="1" applyBorder="1" applyAlignment="1">
      <alignment horizontal="right" readingOrder="1"/>
    </xf>
    <xf numFmtId="0" fontId="301" fillId="0" borderId="43" xfId="0" applyFont="1" applyBorder="1" applyAlignment="1">
      <alignment horizontal="left" readingOrder="1"/>
    </xf>
    <xf numFmtId="0" fontId="306" fillId="0" borderId="9" xfId="0" applyFont="1" applyBorder="1" applyAlignment="1">
      <alignment horizontal="left" readingOrder="1"/>
    </xf>
    <xf numFmtId="0" fontId="299" fillId="0" borderId="9" xfId="0" applyFont="1" applyBorder="1" applyAlignment="1">
      <alignment horizontal="right" readingOrder="1"/>
    </xf>
    <xf numFmtId="0" fontId="299" fillId="0" borderId="44" xfId="0" applyFont="1" applyBorder="1" applyAlignment="1">
      <alignment horizontal="right" readingOrder="1"/>
    </xf>
    <xf numFmtId="2" fontId="299" fillId="0" borderId="9" xfId="0" applyNumberFormat="1" applyFont="1" applyBorder="1" applyAlignment="1">
      <alignment horizontal="right" readingOrder="1"/>
    </xf>
    <xf numFmtId="2" fontId="299" fillId="0" borderId="44" xfId="0" applyNumberFormat="1" applyFont="1" applyBorder="1" applyAlignment="1">
      <alignment horizontal="right" readingOrder="1"/>
    </xf>
    <xf numFmtId="165" fontId="299" fillId="0" borderId="9" xfId="0" applyNumberFormat="1" applyFont="1" applyBorder="1" applyAlignment="1">
      <alignment horizontal="right" readingOrder="1"/>
    </xf>
    <xf numFmtId="165" fontId="299" fillId="0" borderId="44" xfId="0" applyNumberFormat="1" applyFont="1" applyBorder="1" applyAlignment="1">
      <alignment horizontal="right" readingOrder="1"/>
    </xf>
    <xf numFmtId="0" fontId="299" fillId="4" borderId="9" xfId="0" applyFont="1" applyFill="1" applyBorder="1" applyAlignment="1">
      <alignment horizontal="left" readingOrder="1"/>
    </xf>
    <xf numFmtId="0" fontId="277" fillId="0" borderId="45" xfId="0" applyFont="1" applyBorder="1"/>
    <xf numFmtId="0" fontId="277" fillId="0" borderId="20" xfId="0" applyFont="1" applyBorder="1"/>
    <xf numFmtId="0" fontId="277" fillId="0" borderId="46" xfId="0" applyFont="1" applyBorder="1"/>
    <xf numFmtId="0" fontId="277" fillId="0" borderId="41" xfId="0" applyFont="1" applyBorder="1"/>
    <xf numFmtId="0" fontId="277" fillId="0" borderId="22" xfId="0" applyFont="1" applyBorder="1"/>
    <xf numFmtId="3" fontId="277" fillId="0" borderId="42" xfId="0" applyNumberFormat="1" applyFont="1" applyBorder="1"/>
    <xf numFmtId="0" fontId="277" fillId="0" borderId="0" xfId="0" applyFont="1"/>
    <xf numFmtId="0" fontId="277" fillId="0" borderId="43" xfId="0" applyFont="1" applyBorder="1"/>
    <xf numFmtId="0" fontId="277" fillId="0" borderId="9" xfId="0" applyFont="1" applyBorder="1"/>
    <xf numFmtId="3" fontId="277" fillId="0" borderId="44" xfId="0" applyNumberFormat="1" applyFont="1" applyBorder="1"/>
    <xf numFmtId="0" fontId="307" fillId="4" borderId="45" xfId="0" applyFont="1" applyFill="1" applyBorder="1"/>
    <xf numFmtId="0" fontId="307" fillId="4" borderId="20" xfId="0" applyFont="1" applyFill="1" applyBorder="1"/>
    <xf numFmtId="3" fontId="307" fillId="4" borderId="46" xfId="0" applyNumberFormat="1" applyFont="1" applyFill="1" applyBorder="1"/>
    <xf numFmtId="164" fontId="277" fillId="0" borderId="0" xfId="1" applyNumberFormat="1" applyFont="1"/>
    <xf numFmtId="0" fontId="304" fillId="0" borderId="0" xfId="0" applyFont="1"/>
    <xf numFmtId="166" fontId="296" fillId="2" borderId="41" xfId="0" applyNumberFormat="1" applyFont="1" applyFill="1" applyBorder="1" applyAlignment="1">
      <alignment horizontal="left" vertical="center" readingOrder="1"/>
    </xf>
    <xf numFmtId="166" fontId="296" fillId="2" borderId="22" xfId="0" applyNumberFormat="1" applyFont="1" applyFill="1" applyBorder="1" applyAlignment="1">
      <alignment horizontal="right" vertical="center" readingOrder="1"/>
    </xf>
    <xf numFmtId="166" fontId="296" fillId="2" borderId="42" xfId="0" applyNumberFormat="1" applyFont="1" applyFill="1" applyBorder="1" applyAlignment="1">
      <alignment horizontal="right" vertical="center" readingOrder="1"/>
    </xf>
    <xf numFmtId="0" fontId="306" fillId="0" borderId="9" xfId="0" applyFont="1" applyBorder="1" applyAlignment="1">
      <alignment horizontal="right"/>
    </xf>
    <xf numFmtId="164" fontId="306" fillId="0" borderId="9" xfId="0" applyNumberFormat="1" applyFont="1" applyBorder="1" applyAlignment="1">
      <alignment horizontal="right"/>
    </xf>
    <xf numFmtId="164" fontId="277" fillId="0" borderId="9" xfId="0" applyNumberFormat="1" applyFont="1" applyBorder="1"/>
    <xf numFmtId="164" fontId="277" fillId="0" borderId="44" xfId="0" applyNumberFormat="1" applyFont="1" applyBorder="1"/>
    <xf numFmtId="0" fontId="306" fillId="0" borderId="20" xfId="0" applyFont="1" applyBorder="1" applyAlignment="1">
      <alignment horizontal="right"/>
    </xf>
    <xf numFmtId="164" fontId="277" fillId="0" borderId="20" xfId="0" applyNumberFormat="1" applyFont="1" applyBorder="1"/>
    <xf numFmtId="164" fontId="277" fillId="0" borderId="46" xfId="0" applyNumberFormat="1" applyFont="1" applyBorder="1"/>
    <xf numFmtId="0" fontId="285" fillId="2" borderId="41" xfId="0" applyFont="1" applyFill="1" applyBorder="1" applyAlignment="1">
      <alignment wrapText="1" readingOrder="1"/>
    </xf>
    <xf numFmtId="0" fontId="285" fillId="2" borderId="22" xfId="0" applyFont="1" applyFill="1" applyBorder="1" applyAlignment="1">
      <alignment readingOrder="1"/>
    </xf>
    <xf numFmtId="0" fontId="285" fillId="2" borderId="22" xfId="0" applyFont="1" applyFill="1" applyBorder="1" applyAlignment="1">
      <alignment horizontal="right" wrapText="1" readingOrder="1"/>
    </xf>
    <xf numFmtId="0" fontId="285" fillId="2" borderId="42" xfId="0" applyFont="1" applyFill="1" applyBorder="1" applyAlignment="1">
      <alignment horizontal="right" wrapText="1" readingOrder="1"/>
    </xf>
    <xf numFmtId="166" fontId="309" fillId="3" borderId="9" xfId="0" applyNumberFormat="1" applyFont="1" applyFill="1" applyBorder="1" applyAlignment="1">
      <alignment horizontal="right" wrapText="1" readingOrder="1"/>
    </xf>
    <xf numFmtId="166" fontId="309" fillId="3" borderId="9" xfId="0" applyNumberFormat="1" applyFont="1" applyFill="1" applyBorder="1" applyAlignment="1">
      <alignment horizontal="center" wrapText="1" readingOrder="1"/>
    </xf>
    <xf numFmtId="0" fontId="309" fillId="3" borderId="44" xfId="0" applyFont="1" applyFill="1" applyBorder="1" applyAlignment="1">
      <alignment horizontal="right" vertical="center" wrapText="1"/>
    </xf>
    <xf numFmtId="0" fontId="289" fillId="0" borderId="43" xfId="0" applyFont="1" applyBorder="1" applyAlignment="1">
      <alignment vertical="top" readingOrder="1"/>
    </xf>
    <xf numFmtId="3" fontId="286" fillId="0" borderId="9" xfId="0" applyNumberFormat="1" applyFont="1" applyBorder="1" applyAlignment="1">
      <alignment horizontal="right" readingOrder="1"/>
    </xf>
    <xf numFmtId="164" fontId="286" fillId="0" borderId="9" xfId="1" applyNumberFormat="1" applyFont="1" applyBorder="1" applyAlignment="1">
      <alignment horizontal="center" readingOrder="1"/>
    </xf>
    <xf numFmtId="3" fontId="289" fillId="0" borderId="9" xfId="0" applyNumberFormat="1" applyFont="1" applyBorder="1" applyAlignment="1">
      <alignment horizontal="center" readingOrder="1"/>
    </xf>
    <xf numFmtId="3" fontId="286" fillId="0" borderId="9" xfId="0" applyNumberFormat="1" applyFont="1" applyBorder="1" applyAlignment="1">
      <alignment horizontal="center" readingOrder="1"/>
    </xf>
    <xf numFmtId="0" fontId="289" fillId="0" borderId="45" xfId="0" applyFont="1" applyBorder="1" applyAlignment="1">
      <alignment readingOrder="1"/>
    </xf>
    <xf numFmtId="0" fontId="289" fillId="0" borderId="20" xfId="0" applyFont="1" applyBorder="1" applyAlignment="1">
      <alignment readingOrder="1"/>
    </xf>
    <xf numFmtId="3" fontId="286" fillId="0" borderId="20" xfId="0" applyNumberFormat="1" applyFont="1" applyBorder="1" applyAlignment="1">
      <alignment horizontal="right" readingOrder="1"/>
    </xf>
    <xf numFmtId="164" fontId="286" fillId="0" borderId="20" xfId="1" applyNumberFormat="1" applyFont="1" applyBorder="1" applyAlignment="1">
      <alignment horizontal="center" readingOrder="1"/>
    </xf>
    <xf numFmtId="3" fontId="289" fillId="0" borderId="20" xfId="0" applyNumberFormat="1" applyFont="1" applyBorder="1" applyAlignment="1">
      <alignment horizontal="center" readingOrder="1"/>
    </xf>
    <xf numFmtId="3" fontId="286" fillId="0" borderId="20" xfId="0" applyNumberFormat="1" applyFont="1" applyBorder="1" applyAlignment="1">
      <alignment horizontal="center" readingOrder="1"/>
    </xf>
    <xf numFmtId="3" fontId="289" fillId="0" borderId="46" xfId="0" applyNumberFormat="1" applyFont="1" applyBorder="1" applyAlignment="1">
      <alignment horizontal="right" readingOrder="1"/>
    </xf>
    <xf numFmtId="0" fontId="294" fillId="0" borderId="0" xfId="0" applyFont="1"/>
    <xf numFmtId="0" fontId="285" fillId="0" borderId="0" xfId="0" applyFont="1" applyFill="1" applyBorder="1" applyAlignment="1">
      <alignment horizontal="right" readingOrder="1"/>
    </xf>
    <xf numFmtId="0" fontId="289" fillId="0" borderId="0" xfId="0" applyFont="1" applyFill="1" applyBorder="1" applyAlignment="1">
      <alignment horizontal="right" readingOrder="1"/>
    </xf>
    <xf numFmtId="165" fontId="289" fillId="0" borderId="0" xfId="0" applyNumberFormat="1" applyFont="1" applyFill="1" applyBorder="1" applyAlignment="1">
      <alignment horizontal="right" readingOrder="1"/>
    </xf>
    <xf numFmtId="0" fontId="291" fillId="4" borderId="45" xfId="0" applyFont="1" applyFill="1" applyBorder="1" applyAlignment="1">
      <alignment readingOrder="1"/>
    </xf>
    <xf numFmtId="0" fontId="291" fillId="4" borderId="20" xfId="0" applyFont="1" applyFill="1" applyBorder="1" applyAlignment="1">
      <alignment readingOrder="1"/>
    </xf>
    <xf numFmtId="3" fontId="291" fillId="4" borderId="20" xfId="0" applyNumberFormat="1" applyFont="1" applyFill="1" applyBorder="1" applyAlignment="1">
      <alignment horizontal="right" readingOrder="1"/>
    </xf>
    <xf numFmtId="3" fontId="291" fillId="4" borderId="46" xfId="0" applyNumberFormat="1" applyFont="1" applyFill="1" applyBorder="1" applyAlignment="1">
      <alignment horizontal="right" readingOrder="1"/>
    </xf>
    <xf numFmtId="3" fontId="291" fillId="0" borderId="0" xfId="0" applyNumberFormat="1" applyFont="1" applyFill="1" applyBorder="1" applyAlignment="1">
      <alignment horizontal="right" readingOrder="1"/>
    </xf>
    <xf numFmtId="0" fontId="289" fillId="0" borderId="41" xfId="0" applyFont="1" applyBorder="1" applyAlignment="1">
      <alignment readingOrder="1"/>
    </xf>
    <xf numFmtId="0" fontId="289" fillId="0" borderId="22" xfId="0" applyFont="1" applyBorder="1" applyAlignment="1">
      <alignment readingOrder="1"/>
    </xf>
    <xf numFmtId="3" fontId="286" fillId="0" borderId="22" xfId="0" applyNumberFormat="1" applyFont="1" applyBorder="1" applyAlignment="1">
      <alignment horizontal="right" readingOrder="1"/>
    </xf>
    <xf numFmtId="3" fontId="289" fillId="0" borderId="42" xfId="0" applyNumberFormat="1" applyFont="1" applyBorder="1" applyAlignment="1">
      <alignment horizontal="right" readingOrder="1"/>
    </xf>
    <xf numFmtId="0" fontId="296" fillId="2" borderId="2" xfId="0" applyFont="1" applyFill="1" applyBorder="1" applyAlignment="1">
      <alignment horizontal="center" wrapText="1" readingOrder="1"/>
    </xf>
    <xf numFmtId="0" fontId="68" fillId="3" borderId="11" xfId="0" applyFont="1" applyFill="1" applyBorder="1" applyAlignment="1">
      <alignment vertical="center" wrapText="1"/>
    </xf>
    <xf numFmtId="0" fontId="297" fillId="3" borderId="12" xfId="0" applyFont="1" applyFill="1" applyBorder="1" applyAlignment="1">
      <alignment horizontal="left" wrapText="1" readingOrder="1"/>
    </xf>
    <xf numFmtId="0" fontId="298" fillId="3" borderId="12" xfId="0" applyFont="1" applyFill="1" applyBorder="1" applyAlignment="1">
      <alignment horizontal="left" wrapText="1" readingOrder="1"/>
    </xf>
    <xf numFmtId="0" fontId="297" fillId="3" borderId="12" xfId="0" applyFont="1" applyFill="1" applyBorder="1" applyAlignment="1">
      <alignment horizontal="center" wrapText="1" readingOrder="1"/>
    </xf>
    <xf numFmtId="166" fontId="297" fillId="3" borderId="12" xfId="0" applyNumberFormat="1" applyFont="1" applyFill="1" applyBorder="1" applyAlignment="1">
      <alignment horizontal="right" wrapText="1" readingOrder="1"/>
    </xf>
    <xf numFmtId="166" fontId="297" fillId="3" borderId="13" xfId="0" applyNumberFormat="1" applyFont="1" applyFill="1" applyBorder="1" applyAlignment="1">
      <alignment horizontal="right" wrapText="1" readingOrder="1"/>
    </xf>
    <xf numFmtId="0" fontId="277" fillId="0" borderId="8" xfId="0" applyFont="1" applyBorder="1"/>
    <xf numFmtId="3" fontId="277" fillId="0" borderId="9" xfId="0" applyNumberFormat="1" applyFont="1" applyBorder="1"/>
    <xf numFmtId="3" fontId="277" fillId="0" borderId="10" xfId="0" applyNumberFormat="1" applyFont="1" applyBorder="1"/>
    <xf numFmtId="3" fontId="277" fillId="0" borderId="0" xfId="0" applyNumberFormat="1" applyFont="1"/>
    <xf numFmtId="0" fontId="307" fillId="0" borderId="8" xfId="0" applyFont="1" applyBorder="1"/>
    <xf numFmtId="0" fontId="277" fillId="0" borderId="10" xfId="0" applyFont="1" applyBorder="1"/>
    <xf numFmtId="164" fontId="277" fillId="0" borderId="9" xfId="1" applyNumberFormat="1" applyFont="1" applyBorder="1"/>
    <xf numFmtId="164" fontId="277" fillId="0" borderId="10" xfId="1" applyNumberFormat="1" applyFont="1" applyBorder="1"/>
    <xf numFmtId="0" fontId="307" fillId="0" borderId="0" xfId="0" applyFont="1"/>
    <xf numFmtId="164" fontId="307" fillId="0" borderId="0" xfId="1" applyNumberFormat="1" applyFont="1"/>
    <xf numFmtId="0" fontId="307" fillId="0" borderId="1" xfId="0" applyFont="1" applyBorder="1"/>
    <xf numFmtId="0" fontId="277" fillId="0" borderId="2" xfId="0" applyFont="1" applyBorder="1"/>
    <xf numFmtId="0" fontId="277" fillId="0" borderId="5" xfId="0" applyFont="1" applyBorder="1"/>
    <xf numFmtId="37" fontId="277" fillId="0" borderId="9" xfId="0" applyNumberFormat="1" applyFont="1" applyBorder="1"/>
    <xf numFmtId="37" fontId="277" fillId="0" borderId="10" xfId="0" applyNumberFormat="1" applyFont="1" applyBorder="1"/>
    <xf numFmtId="3" fontId="307" fillId="0" borderId="9" xfId="0" applyNumberFormat="1" applyFont="1" applyBorder="1"/>
    <xf numFmtId="3" fontId="307" fillId="0" borderId="10" xfId="0" applyNumberFormat="1" applyFont="1" applyBorder="1"/>
    <xf numFmtId="164" fontId="307" fillId="0" borderId="10" xfId="1" applyNumberFormat="1" applyFont="1" applyBorder="1"/>
    <xf numFmtId="164" fontId="277" fillId="0" borderId="10" xfId="0" applyNumberFormat="1" applyFont="1" applyBorder="1"/>
    <xf numFmtId="0" fontId="310" fillId="0" borderId="0" xfId="0" applyFont="1"/>
    <xf numFmtId="0" fontId="310" fillId="0" borderId="0" xfId="0" applyFont="1" applyAlignment="1">
      <alignment horizontal="center"/>
    </xf>
    <xf numFmtId="164" fontId="293" fillId="0" borderId="44" xfId="0" applyNumberFormat="1" applyFont="1" applyBorder="1" applyAlignment="1">
      <alignment horizontal="right" readingOrder="1"/>
    </xf>
    <xf numFmtId="164" fontId="311" fillId="0" borderId="9" xfId="0" applyNumberFormat="1" applyFont="1" applyBorder="1" applyAlignment="1">
      <alignment horizontal="right" readingOrder="1"/>
    </xf>
    <xf numFmtId="164" fontId="311" fillId="0" borderId="44" xfId="0" applyNumberFormat="1" applyFont="1" applyBorder="1" applyAlignment="1">
      <alignment horizontal="right" readingOrder="1"/>
    </xf>
    <xf numFmtId="0" fontId="312" fillId="0" borderId="43" xfId="2" applyFont="1" applyBorder="1" applyAlignment="1">
      <alignment horizontal="left" vertical="top"/>
    </xf>
    <xf numFmtId="0" fontId="289" fillId="0" borderId="0" xfId="0" applyFont="1" applyBorder="1" applyAlignment="1">
      <alignment readingOrder="1"/>
    </xf>
    <xf numFmtId="0" fontId="289" fillId="0" borderId="0" xfId="0" applyFont="1" applyBorder="1" applyAlignment="1">
      <alignment horizontal="left" readingOrder="1"/>
    </xf>
    <xf numFmtId="3" fontId="286" fillId="0" borderId="0" xfId="0" applyNumberFormat="1" applyFont="1" applyBorder="1" applyAlignment="1">
      <alignment horizontal="right" readingOrder="1"/>
    </xf>
    <xf numFmtId="3" fontId="289" fillId="0" borderId="0" xfId="0" applyNumberFormat="1" applyFont="1" applyBorder="1" applyAlignment="1">
      <alignment horizontal="right" readingOrder="1"/>
    </xf>
    <xf numFmtId="0" fontId="16" fillId="2" borderId="49" xfId="0" applyFont="1" applyFill="1" applyBorder="1" applyAlignment="1">
      <alignment horizontal="center" wrapText="1" readingOrder="1"/>
    </xf>
    <xf numFmtId="16" fontId="16" fillId="2" borderId="12" xfId="0" applyNumberFormat="1" applyFont="1" applyFill="1" applyBorder="1" applyAlignment="1">
      <alignment horizontal="center" wrapText="1" readingOrder="1"/>
    </xf>
    <xf numFmtId="16" fontId="16" fillId="2" borderId="50" xfId="0" applyNumberFormat="1" applyFont="1" applyFill="1" applyBorder="1" applyAlignment="1">
      <alignment wrapText="1" readingOrder="1"/>
    </xf>
    <xf numFmtId="0" fontId="16" fillId="2" borderId="49" xfId="0" applyFont="1" applyFill="1" applyBorder="1" applyAlignment="1">
      <alignment horizontal="centerContinuous" wrapText="1" readingOrder="1"/>
    </xf>
    <xf numFmtId="0" fontId="16" fillId="2" borderId="12" xfId="0" applyFont="1" applyFill="1" applyBorder="1" applyAlignment="1">
      <alignment horizontal="centerContinuous" wrapText="1" readingOrder="1"/>
    </xf>
    <xf numFmtId="0" fontId="16" fillId="2" borderId="47" xfId="0" applyFont="1" applyFill="1" applyBorder="1" applyAlignment="1">
      <alignment horizontal="centerContinuous" wrapText="1" readingOrder="1"/>
    </xf>
    <xf numFmtId="0" fontId="16" fillId="2" borderId="23" xfId="0" applyFont="1" applyFill="1" applyBorder="1" applyAlignment="1">
      <alignment horizontal="centerContinuous" wrapText="1" readingOrder="1"/>
    </xf>
    <xf numFmtId="0" fontId="16" fillId="2" borderId="47" xfId="0" applyFont="1" applyFill="1" applyBorder="1" applyAlignment="1">
      <alignment horizontal="center" wrapText="1" readingOrder="1"/>
    </xf>
    <xf numFmtId="16" fontId="16" fillId="2" borderId="12" xfId="0" applyNumberFormat="1" applyFont="1" applyFill="1" applyBorder="1" applyAlignment="1">
      <alignment wrapText="1" readingOrder="1"/>
    </xf>
    <xf numFmtId="0" fontId="16" fillId="2" borderId="22" xfId="0" applyFont="1" applyFill="1" applyBorder="1" applyAlignment="1">
      <alignment horizontal="center" wrapText="1" readingOrder="1"/>
    </xf>
    <xf numFmtId="0" fontId="38" fillId="0" borderId="23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16" fillId="2" borderId="41" xfId="0" applyFont="1" applyFill="1" applyBorder="1" applyAlignment="1">
      <alignment horizontal="left" readingOrder="1"/>
    </xf>
    <xf numFmtId="0" fontId="16" fillId="2" borderId="22" xfId="0" applyFont="1" applyFill="1" applyBorder="1" applyAlignment="1">
      <alignment horizontal="left" readingOrder="1"/>
    </xf>
    <xf numFmtId="0" fontId="16" fillId="2" borderId="42" xfId="0" applyFont="1" applyFill="1" applyBorder="1" applyAlignment="1">
      <alignment horizontal="left" readingOrder="1"/>
    </xf>
    <xf numFmtId="0" fontId="16" fillId="2" borderId="41" xfId="0" applyFont="1" applyFill="1" applyBorder="1" applyAlignment="1">
      <alignment horizontal="left" wrapText="1" readingOrder="1"/>
    </xf>
    <xf numFmtId="0" fontId="16" fillId="2" borderId="22" xfId="0" applyFont="1" applyFill="1" applyBorder="1" applyAlignment="1">
      <alignment horizontal="left" wrapText="1" readingOrder="1"/>
    </xf>
    <xf numFmtId="0" fontId="16" fillId="2" borderId="22" xfId="0" applyFont="1" applyFill="1" applyBorder="1" applyAlignment="1">
      <alignment horizontal="center" wrapText="1" readingOrder="1"/>
    </xf>
    <xf numFmtId="0" fontId="16" fillId="2" borderId="22" xfId="0" applyFont="1" applyFill="1" applyBorder="1" applyAlignment="1">
      <alignment horizontal="center" vertical="center" readingOrder="1"/>
    </xf>
    <xf numFmtId="0" fontId="39" fillId="0" borderId="2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16" fillId="2" borderId="55" xfId="0" applyFont="1" applyFill="1" applyBorder="1" applyAlignment="1">
      <alignment horizontal="left" readingOrder="1"/>
    </xf>
    <xf numFmtId="0" fontId="16" fillId="2" borderId="31" xfId="0" applyFont="1" applyFill="1" applyBorder="1" applyAlignment="1">
      <alignment horizontal="left" readingOrder="1"/>
    </xf>
    <xf numFmtId="0" fontId="16" fillId="2" borderId="23" xfId="0" applyFont="1" applyFill="1" applyBorder="1" applyAlignment="1">
      <alignment horizontal="center" wrapText="1" readingOrder="1"/>
    </xf>
    <xf numFmtId="0" fontId="296" fillId="2" borderId="41" xfId="0" applyFont="1" applyFill="1" applyBorder="1" applyAlignment="1">
      <alignment horizontal="left" wrapText="1" readingOrder="1"/>
    </xf>
    <xf numFmtId="0" fontId="296" fillId="2" borderId="22" xfId="0" applyFont="1" applyFill="1" applyBorder="1" applyAlignment="1">
      <alignment horizontal="left" wrapText="1" readingOrder="1"/>
    </xf>
    <xf numFmtId="0" fontId="296" fillId="2" borderId="22" xfId="0" applyFont="1" applyFill="1" applyBorder="1" applyAlignment="1">
      <alignment horizontal="center" wrapText="1" readingOrder="1"/>
    </xf>
    <xf numFmtId="0" fontId="296" fillId="2" borderId="42" xfId="0" applyFont="1" applyFill="1" applyBorder="1" applyAlignment="1">
      <alignment horizontal="center" wrapText="1" readingOrder="1"/>
    </xf>
    <xf numFmtId="0" fontId="296" fillId="2" borderId="1" xfId="0" applyFont="1" applyFill="1" applyBorder="1" applyAlignment="1">
      <alignment horizontal="left" wrapText="1" readingOrder="1"/>
    </xf>
    <xf numFmtId="0" fontId="296" fillId="2" borderId="2" xfId="0" applyFont="1" applyFill="1" applyBorder="1" applyAlignment="1">
      <alignment horizontal="left" wrapText="1" readingOrder="1"/>
    </xf>
    <xf numFmtId="0" fontId="296" fillId="2" borderId="2" xfId="0" applyFont="1" applyFill="1" applyBorder="1" applyAlignment="1">
      <alignment horizontal="center" wrapText="1" readingOrder="1"/>
    </xf>
    <xf numFmtId="0" fontId="277" fillId="0" borderId="5" xfId="0" applyFont="1" applyBorder="1" applyAlignment="1">
      <alignment wrapText="1"/>
    </xf>
    <xf numFmtId="0" fontId="16" fillId="2" borderId="47" xfId="0" applyFont="1" applyFill="1" applyBorder="1" applyAlignment="1">
      <alignment horizontal="left" wrapText="1" readingOrder="1"/>
    </xf>
    <xf numFmtId="0" fontId="16" fillId="2" borderId="49" xfId="0" applyFont="1" applyFill="1" applyBorder="1" applyAlignment="1">
      <alignment horizontal="left" wrapText="1" readingOrder="1"/>
    </xf>
    <xf numFmtId="0" fontId="285" fillId="2" borderId="41" xfId="0" applyFont="1" applyFill="1" applyBorder="1" applyAlignment="1">
      <alignment horizontal="left" wrapText="1" readingOrder="1"/>
    </xf>
    <xf numFmtId="0" fontId="285" fillId="2" borderId="22" xfId="0" applyFont="1" applyFill="1" applyBorder="1" applyAlignment="1">
      <alignment horizontal="left" wrapText="1" readingOrder="1"/>
    </xf>
    <xf numFmtId="0" fontId="285" fillId="2" borderId="22" xfId="0" applyFont="1" applyFill="1" applyBorder="1" applyAlignment="1">
      <alignment horizontal="center" wrapText="1" readingOrder="1"/>
    </xf>
    <xf numFmtId="0" fontId="285" fillId="2" borderId="42" xfId="0" applyFont="1" applyFill="1" applyBorder="1" applyAlignment="1">
      <alignment horizontal="center" wrapText="1" readingOrder="1"/>
    </xf>
    <xf numFmtId="166" fontId="16" fillId="2" borderId="22" xfId="0" applyNumberFormat="1" applyFont="1" applyFill="1" applyBorder="1" applyAlignment="1">
      <alignment horizontal="center" readingOrder="1"/>
    </xf>
    <xf numFmtId="0" fontId="27" fillId="0" borderId="44" xfId="0" applyFont="1" applyBorder="1"/>
    <xf numFmtId="0" fontId="0" fillId="0" borderId="43" xfId="0" applyBorder="1"/>
    <xf numFmtId="0" fontId="0" fillId="0" borderId="45" xfId="0" applyBorder="1"/>
    <xf numFmtId="166" fontId="16" fillId="2" borderId="22" xfId="0" applyNumberFormat="1" applyFont="1" applyFill="1" applyBorder="1" applyAlignment="1">
      <alignment readingOrder="1"/>
    </xf>
    <xf numFmtId="166" fontId="16" fillId="2" borderId="42" xfId="0" applyNumberFormat="1" applyFont="1" applyFill="1" applyBorder="1" applyAlignment="1">
      <alignment readingOrder="1"/>
    </xf>
    <xf numFmtId="0" fontId="16" fillId="2" borderId="42" xfId="0" applyFont="1" applyFill="1" applyBorder="1" applyAlignment="1">
      <alignment horizontal="center" wrapText="1" readingOrder="1"/>
    </xf>
    <xf numFmtId="9" fontId="27" fillId="0" borderId="9" xfId="1" applyFont="1" applyBorder="1"/>
    <xf numFmtId="164" fontId="27" fillId="0" borderId="9" xfId="1" applyNumberFormat="1" applyFont="1" applyBorder="1"/>
    <xf numFmtId="356" fontId="27" fillId="0" borderId="9" xfId="0" applyNumberFormat="1" applyFont="1" applyBorder="1"/>
    <xf numFmtId="356" fontId="27" fillId="0" borderId="44" xfId="0" applyNumberFormat="1" applyFont="1" applyBorder="1"/>
    <xf numFmtId="362" fontId="27" fillId="0" borderId="9" xfId="0" applyNumberFormat="1" applyFont="1" applyBorder="1"/>
    <xf numFmtId="362" fontId="27" fillId="0" borderId="44" xfId="0" applyNumberFormat="1" applyFont="1" applyBorder="1"/>
    <xf numFmtId="37" fontId="299" fillId="0" borderId="46" xfId="3" applyNumberFormat="1" applyFont="1" applyBorder="1" applyAlignment="1">
      <alignment horizontal="right" readingOrder="1"/>
    </xf>
    <xf numFmtId="0" fontId="295" fillId="0" borderId="43" xfId="0" applyFont="1" applyBorder="1"/>
    <xf numFmtId="0" fontId="295" fillId="0" borderId="9" xfId="0" applyFont="1" applyBorder="1"/>
    <xf numFmtId="37" fontId="301" fillId="0" borderId="9" xfId="3" applyNumberFormat="1" applyFont="1" applyBorder="1" applyAlignment="1">
      <alignment horizontal="right" readingOrder="1"/>
    </xf>
    <xf numFmtId="37" fontId="301" fillId="0" borderId="44" xfId="3" applyNumberFormat="1" applyFont="1" applyBorder="1" applyAlignment="1">
      <alignment horizontal="right" readingOrder="1"/>
    </xf>
    <xf numFmtId="0" fontId="295" fillId="0" borderId="0" xfId="0" applyFont="1"/>
    <xf numFmtId="0" fontId="295" fillId="0" borderId="45" xfId="0" applyFont="1" applyBorder="1"/>
    <xf numFmtId="0" fontId="295" fillId="0" borderId="20" xfId="0" applyFont="1" applyBorder="1"/>
    <xf numFmtId="37" fontId="301" fillId="0" borderId="20" xfId="3" applyNumberFormat="1" applyFont="1" applyBorder="1" applyAlignment="1">
      <alignment horizontal="right" readingOrder="1"/>
    </xf>
    <xf numFmtId="37" fontId="301" fillId="0" borderId="46" xfId="3" applyNumberFormat="1" applyFont="1" applyBorder="1" applyAlignment="1">
      <alignment horizontal="right" readingOrder="1"/>
    </xf>
    <xf numFmtId="37" fontId="299" fillId="0" borderId="42" xfId="3" applyNumberFormat="1" applyFont="1" applyBorder="1" applyAlignment="1">
      <alignment horizontal="right" readingOrder="1"/>
    </xf>
    <xf numFmtId="164" fontId="286" fillId="0" borderId="9" xfId="1" applyNumberFormat="1" applyFont="1" applyBorder="1"/>
    <xf numFmtId="37" fontId="306" fillId="0" borderId="9" xfId="3" applyNumberFormat="1" applyFont="1" applyBorder="1" applyAlignment="1">
      <alignment horizontal="right" readingOrder="1"/>
    </xf>
    <xf numFmtId="37" fontId="306" fillId="0" borderId="44" xfId="3" applyNumberFormat="1" applyFont="1" applyBorder="1" applyAlignment="1">
      <alignment horizontal="right" readingOrder="1"/>
    </xf>
    <xf numFmtId="164" fontId="4" fillId="0" borderId="0" xfId="0" applyNumberFormat="1" applyFont="1"/>
    <xf numFmtId="3" fontId="291" fillId="0" borderId="9" xfId="0" applyNumberFormat="1" applyFont="1" applyBorder="1" applyAlignment="1">
      <alignment horizontal="right" readingOrder="1"/>
    </xf>
    <xf numFmtId="3" fontId="291" fillId="0" borderId="44" xfId="0" applyNumberFormat="1" applyFont="1" applyBorder="1" applyAlignment="1">
      <alignment horizontal="right" readingOrder="1"/>
    </xf>
    <xf numFmtId="164" fontId="313" fillId="0" borderId="0" xfId="0" applyNumberFormat="1" applyFont="1" applyBorder="1" applyAlignment="1">
      <alignment horizontal="right" readingOrder="1"/>
    </xf>
    <xf numFmtId="164" fontId="277" fillId="0" borderId="9" xfId="1" applyNumberFormat="1" applyFont="1" applyBorder="1" applyAlignment="1">
      <alignment horizontal="right"/>
    </xf>
    <xf numFmtId="164" fontId="306" fillId="0" borderId="9" xfId="1" applyNumberFormat="1" applyFont="1" applyBorder="1" applyAlignment="1">
      <alignment horizontal="right"/>
    </xf>
    <xf numFmtId="164" fontId="277" fillId="0" borderId="44" xfId="1" applyNumberFormat="1" applyFont="1" applyBorder="1"/>
    <xf numFmtId="164" fontId="277" fillId="0" borderId="20" xfId="1" applyNumberFormat="1" applyFont="1" applyBorder="1" applyAlignment="1">
      <alignment horizontal="right"/>
    </xf>
    <xf numFmtId="164" fontId="277" fillId="0" borderId="20" xfId="1" applyNumberFormat="1" applyFont="1" applyBorder="1"/>
    <xf numFmtId="164" fontId="277" fillId="0" borderId="46" xfId="1" applyNumberFormat="1" applyFont="1" applyBorder="1"/>
    <xf numFmtId="164" fontId="68" fillId="0" borderId="9" xfId="1" applyNumberFormat="1" applyFont="1" applyBorder="1" applyAlignment="1">
      <alignment horizontal="right"/>
    </xf>
    <xf numFmtId="164" fontId="68" fillId="0" borderId="20" xfId="1" applyNumberFormat="1" applyFont="1" applyBorder="1" applyAlignment="1">
      <alignment horizontal="right"/>
    </xf>
    <xf numFmtId="164" fontId="27" fillId="0" borderId="46" xfId="1" applyNumberFormat="1" applyFont="1" applyBorder="1"/>
    <xf numFmtId="0" fontId="295" fillId="0" borderId="41" xfId="0" applyFont="1" applyBorder="1"/>
    <xf numFmtId="0" fontId="316" fillId="2" borderId="22" xfId="0" applyFont="1" applyFill="1" applyBorder="1"/>
    <xf numFmtId="0" fontId="316" fillId="2" borderId="42" xfId="0" applyFont="1" applyFill="1" applyBorder="1"/>
    <xf numFmtId="0" fontId="286" fillId="0" borderId="9" xfId="0" applyFont="1" applyBorder="1"/>
    <xf numFmtId="364" fontId="286" fillId="0" borderId="9" xfId="0" applyNumberFormat="1" applyFont="1" applyBorder="1"/>
    <xf numFmtId="0" fontId="316" fillId="2" borderId="41" xfId="0" applyFont="1" applyFill="1" applyBorder="1" applyAlignment="1">
      <alignment horizontal="center"/>
    </xf>
    <xf numFmtId="0" fontId="286" fillId="0" borderId="43" xfId="0" applyFont="1" applyBorder="1" applyAlignment="1">
      <alignment horizontal="center"/>
    </xf>
    <xf numFmtId="164" fontId="295" fillId="0" borderId="42" xfId="1" applyNumberFormat="1" applyFont="1" applyBorder="1"/>
    <xf numFmtId="164" fontId="295" fillId="0" borderId="46" xfId="1" applyNumberFormat="1" applyFont="1" applyBorder="1"/>
    <xf numFmtId="364" fontId="27" fillId="0" borderId="9" xfId="0" applyNumberFormat="1" applyFont="1" applyBorder="1"/>
    <xf numFmtId="364" fontId="27" fillId="0" borderId="44" xfId="0" applyNumberFormat="1" applyFont="1" applyBorder="1"/>
    <xf numFmtId="164" fontId="27" fillId="0" borderId="20" xfId="1" applyNumberFormat="1" applyFont="1" applyBorder="1"/>
    <xf numFmtId="0" fontId="0" fillId="4" borderId="45" xfId="0" applyFill="1" applyBorder="1"/>
    <xf numFmtId="364" fontId="295" fillId="4" borderId="20" xfId="0" applyNumberFormat="1" applyFont="1" applyFill="1" applyBorder="1"/>
    <xf numFmtId="0" fontId="295" fillId="0" borderId="136" xfId="0" applyFont="1" applyBorder="1"/>
    <xf numFmtId="0" fontId="295" fillId="0" borderId="137" xfId="0" applyFont="1" applyBorder="1"/>
    <xf numFmtId="164" fontId="317" fillId="0" borderId="138" xfId="0" applyNumberFormat="1" applyFont="1" applyBorder="1"/>
    <xf numFmtId="364" fontId="27" fillId="4" borderId="20" xfId="0" applyNumberFormat="1" applyFont="1" applyFill="1" applyBorder="1"/>
    <xf numFmtId="364" fontId="27" fillId="4" borderId="46" xfId="0" applyNumberFormat="1" applyFont="1" applyFill="1" applyBorder="1"/>
    <xf numFmtId="0" fontId="5" fillId="0" borderId="0" xfId="0" applyFont="1" applyAlignment="1">
      <alignment horizontal="center" vertical="center"/>
    </xf>
  </cellXfs>
  <cellStyles count="4282">
    <cellStyle name="_x0010_" xfId="2623"/>
    <cellStyle name="_x0013_" xfId="1527"/>
    <cellStyle name="-" xfId="2197"/>
    <cellStyle name="------------------" xfId="2624"/>
    <cellStyle name=" " xfId="5"/>
    <cellStyle name=" _97연말" xfId="6"/>
    <cellStyle name=" _97연말1" xfId="7"/>
    <cellStyle name=" _Book1" xfId="8"/>
    <cellStyle name=" 1" xfId="2198"/>
    <cellStyle name="_x000a_386grabber=a" xfId="4169"/>
    <cellStyle name="_x000a_386grabber=M" xfId="9"/>
    <cellStyle name="_x000a_386grabber=M 2" xfId="4155"/>
    <cellStyle name="_x000a_386grabber=M_Sheet2" xfId="4156"/>
    <cellStyle name="_x000a_386grabber=S" xfId="4166"/>
    <cellStyle name="_x000a_shell=progma" xfId="2631"/>
    <cellStyle name="&quot;X&quot; MEN" xfId="4179"/>
    <cellStyle name="#" xfId="4167"/>
    <cellStyle name="$" xfId="10"/>
    <cellStyle name="$ &amp; ¢" xfId="1528"/>
    <cellStyle name="$ 0 decimal" xfId="2625"/>
    <cellStyle name="$ 1 decimal" xfId="4186"/>
    <cellStyle name="$_02_Financial Summary  Proj" xfId="1529"/>
    <cellStyle name="$_24 Unifrax GSMP  Model" xfId="1530"/>
    <cellStyle name="$_ADCO LBO Model v4" xfId="1531"/>
    <cellStyle name="$_ADCO LBO Model v7" xfId="1532"/>
    <cellStyle name="$_ANSI" xfId="4187"/>
    <cellStyle name="$_Bulk Mexico - Pro Forma Financial Statements Q308 DRAFT" xfId="2199"/>
    <cellStyle name="$_CORP1208 FINAL" xfId="4188"/>
    <cellStyle name="$_CORP1209 02.04.10 FINAL" xfId="4189"/>
    <cellStyle name="$_dcf" xfId="1533"/>
    <cellStyle name="$_Detailed Equity Roll for 2007 - 2009" xfId="4190"/>
    <cellStyle name="$_GS Model 07" xfId="1534"/>
    <cellStyle name="$_GW &amp; Intangible FN" xfId="4191"/>
    <cellStyle name="$_Middleby - Star Model Final 03-11-08" xfId="4192"/>
    <cellStyle name="$_Middleby - Star Model v5" xfId="4193"/>
    <cellStyle name="$_Model_v9d" xfId="1535"/>
    <cellStyle name="$_Second Lien Sensistivity" xfId="1536"/>
    <cellStyle name="$_Summit Purchase GW &amp; Intangibles Allocation %" xfId="4194"/>
    <cellStyle name="$_UAP - Fall 2003 Model" xfId="1537"/>
    <cellStyle name="$0.00, centered" xfId="1538"/>
    <cellStyle name="$000s1Place" xfId="11"/>
    <cellStyle name="$0dec(,)" xfId="4195"/>
    <cellStyle name="$1000s (0)" xfId="2200"/>
    <cellStyle name="$MMs1Place" xfId="12"/>
    <cellStyle name="$MMs2Places" xfId="13"/>
    <cellStyle name="%" xfId="1539"/>
    <cellStyle name="% [2]" xfId="2201"/>
    <cellStyle name="% Input" xfId="14"/>
    <cellStyle name="% Presentation" xfId="15"/>
    <cellStyle name="%.00" xfId="1540"/>
    <cellStyle name="%_2008-09-22 Oxygen Financials v2" xfId="4197"/>
    <cellStyle name="%_2010-10 Project Taurus - Info Pack I v10 (19-10-2010) RW v2 (2)" xfId="4198"/>
    <cellStyle name="%_MDA Tech Transfer Model  - FINAL" xfId="4199"/>
    <cellStyle name="%_Middleby - Star Model Final 03-11-08" xfId="4200"/>
    <cellStyle name="%_Middleby - Star Model v5" xfId="4201"/>
    <cellStyle name="%_Weekly Market Update-07-04-2003-final" xfId="2202"/>
    <cellStyle name="%0" xfId="2203"/>
    <cellStyle name="%1" xfId="2204"/>
    <cellStyle name="%2" xfId="2205"/>
    <cellStyle name="(000)s" xfId="1541"/>
    <cellStyle name="(z*¯_x000f_°(”,¯?À(¢,¯?Ð(°,¯?à(Â,¯?ð(Ô,¯?" xfId="2206"/>
    <cellStyle name="******************************************" xfId="16"/>
    <cellStyle name="****************************************** 2" xfId="4202"/>
    <cellStyle name="*Accounts format" xfId="4203"/>
    <cellStyle name="*Body text" xfId="4204"/>
    <cellStyle name="*Input" xfId="4205"/>
    <cellStyle name="*TD" xfId="2207"/>
    <cellStyle name="*Title 1" xfId="4206"/>
    <cellStyle name="*Title 2" xfId="4207"/>
    <cellStyle name="*Title 3" xfId="4208"/>
    <cellStyle name="," xfId="1542"/>
    <cellStyle name=";;;" xfId="17"/>
    <cellStyle name="?" xfId="18"/>
    <cellStyle name="??" xfId="19"/>
    <cellStyle name="?? [0]_??" xfId="2208"/>
    <cellStyle name="??&amp;O?&amp;H?_x0008__x000f__x0007_?_x0007__x0001__x0001_" xfId="20"/>
    <cellStyle name="??&amp;O?&amp;H?_x0008_??_x0007__x0001__x0001_" xfId="21"/>
    <cellStyle name="???[0]_RESULTS" xfId="22"/>
    <cellStyle name="???_RESULTS" xfId="23"/>
    <cellStyle name="??_?.????" xfId="2209"/>
    <cellStyle name="?W?_BOOKSHIP" xfId="2210"/>
    <cellStyle name="?W_Pacific Region P&amp;L " xfId="2211"/>
    <cellStyle name="?曹%U?&amp;H?_x0008_?s_x000a__x0007__x0001__x0001_" xfId="24"/>
    <cellStyle name="\" xfId="1543"/>
    <cellStyle name="\\" xfId="1544"/>
    <cellStyle name="\_CCC Full LBO Model (Level I)" xfId="1545"/>
    <cellStyle name="\_CCC Full LBO Model v.90" xfId="1546"/>
    <cellStyle name="\_Covenant Model v17" xfId="1547"/>
    <cellStyle name="\_FP Options" xfId="1548"/>
    <cellStyle name="\_Greatwide Model v29" xfId="1549"/>
    <cellStyle name="\_New Greatwide Model v4" xfId="1550"/>
    <cellStyle name="\_UHS Model v26" xfId="1551"/>
    <cellStyle name="\_UHS Model v66" xfId="1552"/>
    <cellStyle name="]_x0004_" xfId="25"/>
    <cellStyle name="^February 1992" xfId="4209"/>
    <cellStyle name="_$accounting" xfId="26"/>
    <cellStyle name="_%(SignOnly)" xfId="27"/>
    <cellStyle name="_%(SignOnly)_Book1" xfId="2213"/>
    <cellStyle name="_%(SignOnly)_CCC Full LBO Model (Level I)" xfId="1553"/>
    <cellStyle name="_%(SignOnly)_CCC Full LBO Model v.90" xfId="1554"/>
    <cellStyle name="_%(SignOnly)_Covenant Model v17" xfId="1555"/>
    <cellStyle name="_%(SignOnly)_FP Options" xfId="1556"/>
    <cellStyle name="_%(SignOnly)_Greatwide Model v29" xfId="1557"/>
    <cellStyle name="_%(SignOnly)_IS by Div 12-00 AC v4" xfId="2214"/>
    <cellStyle name="_%(SignOnly)_IS by Div 12-01 AC v4" xfId="2215"/>
    <cellStyle name="_%(SignOnly)_IS by Div 12-02 AC v4" xfId="2216"/>
    <cellStyle name="_%(SignOnly)_IS by Div 12-98 AC v4" xfId="2217"/>
    <cellStyle name="_%(SignOnly)_IS by Div 12-99 AC v4" xfId="2218"/>
    <cellStyle name="_%(SignOnly)_IS by Div Summary 1998-2002" xfId="2219"/>
    <cellStyle name="_%(SignOnly)_New Greatwide Model v4" xfId="1558"/>
    <cellStyle name="_%(SignOnly)_PW Access Revenue" xfId="2220"/>
    <cellStyle name="_%(SignOnly)_UHS Model v26" xfId="1559"/>
    <cellStyle name="_%(SignOnly)_UHS Model v66" xfId="1560"/>
    <cellStyle name="_%(SignSpaceOnly)" xfId="28"/>
    <cellStyle name="_%(SignSpaceOnly)_Book1" xfId="2221"/>
    <cellStyle name="_%(SignSpaceOnly)_CCC Full LBO Model (Level I)" xfId="1561"/>
    <cellStyle name="_%(SignSpaceOnly)_CCC Full LBO Model v.90" xfId="1562"/>
    <cellStyle name="_%(SignSpaceOnly)_Covenant Model v17" xfId="1563"/>
    <cellStyle name="_%(SignSpaceOnly)_FP Options" xfId="1564"/>
    <cellStyle name="_%(SignSpaceOnly)_IS by Div 12-00 AC v4" xfId="2222"/>
    <cellStyle name="_%(SignSpaceOnly)_IS by Div 12-01 AC v4" xfId="2223"/>
    <cellStyle name="_%(SignSpaceOnly)_IS by Div 12-02 AC v4" xfId="2224"/>
    <cellStyle name="_%(SignSpaceOnly)_IS by Div 12-98 AC v4" xfId="2225"/>
    <cellStyle name="_%(SignSpaceOnly)_IS by Div 12-99 AC v4" xfId="2226"/>
    <cellStyle name="_%(SignSpaceOnly)_IS by Div Summary 1998-2002" xfId="2227"/>
    <cellStyle name="_%(SignSpaceOnly)_PW Access Revenue" xfId="2228"/>
    <cellStyle name="__ [0]_New weekly report.Sep.3" xfId="2588"/>
    <cellStyle name="___[0]_New weekly report.Sep.3" xfId="2589"/>
    <cellStyle name="____03 ig group" xfId="2590"/>
    <cellStyle name="____New weekly report.Sep.3" xfId="2591"/>
    <cellStyle name="___group consol with variance" xfId="2592"/>
    <cellStyle name="___New weekly report.Sep.3" xfId="2593"/>
    <cellStyle name="_~6573219" xfId="2229"/>
    <cellStyle name="_~9766598" xfId="2230"/>
    <cellStyle name="_02반기부채" xfId="29"/>
    <cellStyle name="_02프리스넷A123" xfId="30"/>
    <cellStyle name="_05년개발비명세" xfId="31"/>
    <cellStyle name="_2003_GTV_FS" xfId="32"/>
    <cellStyle name="_2005 BP_Q4 Update &amp; 2006 Fleet Plan Comparison v3" xfId="2231"/>
    <cellStyle name="_2005-10-25 BP_3" xfId="2232"/>
    <cellStyle name="_20051222 Project Accel schedules" xfId="2233"/>
    <cellStyle name="_20051222 Project Accel Schedules-Juli" xfId="2234"/>
    <cellStyle name="_20051223 Project Accel Schedules-latest 122305" xfId="2235"/>
    <cellStyle name="_20051228 Project Accel Schedules-Juli" xfId="2236"/>
    <cellStyle name="_20051229 CVO Contract (V1) (2)" xfId="2237"/>
    <cellStyle name="_20051230 Project Accel Schedules v3" xfId="2238"/>
    <cellStyle name="_2008 GPB Revenue - Base Case v2 (5-20-08)" xfId="2239"/>
    <cellStyle name="_2008-04-23 Earth updated model v1" xfId="4210"/>
    <cellStyle name="_7" xfId="33"/>
    <cellStyle name="_ABRY Financing Model v14" xfId="2240"/>
    <cellStyle name="_ABRY Financing Model v14_Book1" xfId="2241"/>
    <cellStyle name="_ABRY Financing Model v14_KNOL PADD - Final revised 6.14.05" xfId="2242"/>
    <cellStyle name="_ABRY Financing Model v14_KNOL PADD - Final revised 6.14.05_1" xfId="2243"/>
    <cellStyle name="_ABRY Financing Model v14_KNOL PADD - Final revised 6.14.05_1_BlueTarp - BVAMS 09.30.07 DRAFT 1.0" xfId="2244"/>
    <cellStyle name="_ABRY Financing Model v14_KNOL PADD - Final revised 6.14.05_Book1" xfId="2245"/>
    <cellStyle name="_accounting" xfId="34"/>
    <cellStyle name="_Alt5" xfId="2568"/>
    <cellStyle name="_Alt5_CPII Model v5" xfId="2569"/>
    <cellStyle name="_Alt5_CPII Model v5_NUCO_Model_v74" xfId="2570"/>
    <cellStyle name="_Alt5_CPII Model v5_NUCO_Model_v74_NUCO_Model_v98 Acquisition.With.New.Equity" xfId="2571"/>
    <cellStyle name="_Alt5_CPII Model v5_NUCO_Model_v98 Acquisition.With.New.Equity" xfId="2572"/>
    <cellStyle name="_Alt5_NUCO_Model_v74" xfId="2573"/>
    <cellStyle name="_Alt5_NUCO_Model_v74 Acquisition Only Cash Flow + Equity" xfId="2574"/>
    <cellStyle name="_Alt5_NUCO_Model_v74 Acquisition Only Cash Flow + Equity_NUCO_Model_v98 Acquisition.With.New.Equity" xfId="2575"/>
    <cellStyle name="_APT 141 101603 ver 51" xfId="35"/>
    <cellStyle name="_assumption page" xfId="36"/>
    <cellStyle name="_ATA_2005-2008_10-25-05_Deck" xfId="2246"/>
    <cellStyle name="_Attachment 4-A Supplier Pricing Forms-RFP v2.3" xfId="2247"/>
    <cellStyle name="_Attachment 4-A Supplier Pricing Forms-RFP v3.0 Working" xfId="2248"/>
    <cellStyle name="_Attachment 4-A Supplier Pricing Forms-RFP-v2" xfId="2249"/>
    <cellStyle name="_Audited Financial Statement for 1Q 2005" xfId="37"/>
    <cellStyle name="_Bayford Analysis 7.0" xfId="2250"/>
    <cellStyle name="_BlueTarp - BVAMS 09.30.07 DRAFT 1.0" xfId="2251"/>
    <cellStyle name="_Boise Assets Debt Capacity_28" xfId="2252"/>
    <cellStyle name="_Book1" xfId="2253"/>
    <cellStyle name="_Book2" xfId="2254"/>
    <cellStyle name="_BPO" xfId="2255"/>
    <cellStyle name="_Canon CapIQ linked v1" xfId="38"/>
    <cellStyle name="_Cap Ex Analysis" xfId="2256"/>
    <cellStyle name="_CapitalIQ - 7.17.06 v4" xfId="39"/>
    <cellStyle name="_Cardinal-Idaho-Oxnard-Naval 9.22.03 Updated" xfId="2257"/>
    <cellStyle name="_cdc games 100807" xfId="40"/>
    <cellStyle name="_Column1" xfId="2258"/>
    <cellStyle name="_Column1_CPII Model v5" xfId="2576"/>
    <cellStyle name="_Column1_CPII Model v5_NUCO_Model_v74" xfId="2577"/>
    <cellStyle name="_Column1_CPII Model v5_NUCO_Model_v74_NUCO_Model_v98 Acquisition.With.New.Equity" xfId="2578"/>
    <cellStyle name="_Column1_CPII Model v5_NUCO_Model_v98 Acquisition.With.New.Equity" xfId="2579"/>
    <cellStyle name="_Column1_NUCO_Model_v74" xfId="2580"/>
    <cellStyle name="_Column1_NUCO_Model_v74_NUCO_Model_v98 Acquisition.With.New.Equity" xfId="2581"/>
    <cellStyle name="_Column1_NUCO_Model_v98 Acquisition.With.New.Equity" xfId="2582"/>
    <cellStyle name="_Column1_Sw98_04" xfId="2259"/>
    <cellStyle name="_Column2" xfId="2260"/>
    <cellStyle name="_Column2_Sw98_04" xfId="2261"/>
    <cellStyle name="_Column3" xfId="2262"/>
    <cellStyle name="_Column3_Sw98_04" xfId="2263"/>
    <cellStyle name="_Column4" xfId="2264"/>
    <cellStyle name="_Column4_Sw98_04" xfId="2265"/>
    <cellStyle name="_Column5" xfId="2266"/>
    <cellStyle name="_Column5_Sw98_04" xfId="2267"/>
    <cellStyle name="_Column6" xfId="2268"/>
    <cellStyle name="_Column6_Sw98_04" xfId="2269"/>
    <cellStyle name="_Column7" xfId="2270"/>
    <cellStyle name="_Column7_Sw98_04" xfId="2271"/>
    <cellStyle name="_Comma" xfId="41"/>
    <cellStyle name="_Comma_03 Financial Projections" xfId="2272"/>
    <cellStyle name="_Comma_3-19 In Progress Model" xfId="2597"/>
    <cellStyle name="_Comma_Backup_Orange Financial Projections" xfId="2273"/>
    <cellStyle name="_Comma_BCP Model" xfId="2274"/>
    <cellStyle name="_Comma_Book1" xfId="2275"/>
    <cellStyle name="_Comma_Book1_1" xfId="2276"/>
    <cellStyle name="_Comma_Canon CapIQ linked v1" xfId="42"/>
    <cellStyle name="_Comma_Canon CapIQ linked v1_sum" xfId="2277"/>
    <cellStyle name="_Comma_CapitalIQ - 7.17.06 v4" xfId="43"/>
    <cellStyle name="_Comma_CapitalIQ - 7.17.06 v4_sum" xfId="2278"/>
    <cellStyle name="_Comma_Church's Model" xfId="2279"/>
    <cellStyle name="_Comma_Combined Synergy Presentation" xfId="2280"/>
    <cellStyle name="_Comma_Comparable Company Analysis (version 1)" xfId="44"/>
    <cellStyle name="_Comma_Comparable Company Analysis (version 1)_sum" xfId="2281"/>
    <cellStyle name="_Comma_dcf" xfId="2282"/>
    <cellStyle name="_Comma_DCF Analysis" xfId="45"/>
    <cellStyle name="_Comma_DCF Analysis_sum" xfId="2283"/>
    <cellStyle name="_Comma_DCF_Orange" xfId="2284"/>
    <cellStyle name="_Comma_EMS_Guideline Comps_unlinked" xfId="2285"/>
    <cellStyle name="_Comma_Eric CapIQ unlinked v1" xfId="46"/>
    <cellStyle name="_Comma_Eric CapIQ unlinked v1_sum" xfId="2286"/>
    <cellStyle name="_Comma_Foreign Holdco Base Case 10.25.04" xfId="2287"/>
    <cellStyle name="_Comma_Guideline Comps Set 1_unlinked" xfId="47"/>
    <cellStyle name="_Comma_Guideline Comps Set 1_unlinked_sum" xfId="2288"/>
    <cellStyle name="_Comma_Guideline Comps Set 2_unlinked" xfId="48"/>
    <cellStyle name="_Comma_Guideline Comps Set 2_unlinked_sum" xfId="2289"/>
    <cellStyle name="_Comma_H-G Holdings race car v5 (change dep)" xfId="49"/>
    <cellStyle name="_Comma_H-G Holdings race car v5 (change dep)_Book1" xfId="2290"/>
    <cellStyle name="_Comma_IS by Div 12-00 AC v4" xfId="2291"/>
    <cellStyle name="_Comma_IS by Div 12-01 AC v4" xfId="2292"/>
    <cellStyle name="_Comma_IS by Div 12-02 AC v4" xfId="2293"/>
    <cellStyle name="_Comma_IS by Div 12-98 AC v4" xfId="2294"/>
    <cellStyle name="_Comma_IS by Div 12-99 AC v4" xfId="2295"/>
    <cellStyle name="_Comma_IS by Div Summary 1998-2002" xfId="2296"/>
    <cellStyle name="_Comma_Knology Model" xfId="2297"/>
    <cellStyle name="_Comma_lbo_long_model" xfId="50"/>
    <cellStyle name="_Comma_lbo_long_model_sum" xfId="2298"/>
    <cellStyle name="_Comma_Map of LTM" xfId="2299"/>
    <cellStyle name="_Comma_MCSM v57" xfId="2300"/>
    <cellStyle name="_Comma_Medicis WACC" xfId="51"/>
    <cellStyle name="_Comma_Medicis WACC_sum" xfId="2301"/>
    <cellStyle name="_Comma_Meggitt AirDynamics WACC" xfId="52"/>
    <cellStyle name="_Comma_Meggitt AirDynamics WACC_sum" xfId="2302"/>
    <cellStyle name="_Comma_Model Assumptions" xfId="2303"/>
    <cellStyle name="_Comma_Model Assumptions (2)" xfId="2304"/>
    <cellStyle name="_Comma_Model Assumptions 11-10-2003" xfId="2305"/>
    <cellStyle name="_Comma_Monarch Capital Structure Model v22 (ac)" xfId="2306"/>
    <cellStyle name="_Comma_NIKE checkpoints" xfId="2598"/>
    <cellStyle name="_Comma_Orange Credit Comp" xfId="2307"/>
    <cellStyle name="_Comma_P&amp;FP IG 2Q02 Comps" xfId="2308"/>
    <cellStyle name="_Comma_PW Access Revenue" xfId="2309"/>
    <cellStyle name="_Comma_Q1 Update (3-28-05)" xfId="2310"/>
    <cellStyle name="_Comma_Revised Basic Modelv2.4" xfId="53"/>
    <cellStyle name="_Comma_Revised Basic Modelv2.4_sum" xfId="2311"/>
    <cellStyle name="_Comma_Robert pages" xfId="2312"/>
    <cellStyle name="_Comma_Rosedale Medical - VAMS v3" xfId="2313"/>
    <cellStyle name="_Comma_Rosedale Medical Market Model v4" xfId="2314"/>
    <cellStyle name="_Comma_S&amp;S Model" xfId="2315"/>
    <cellStyle name="_Comma_Sensitivity Case Comparison" xfId="2316"/>
    <cellStyle name="_Comma_Sept 30 2007 TTM Financial Information" xfId="2317"/>
    <cellStyle name="_Comma_Sheet3" xfId="2318"/>
    <cellStyle name="_Comma_sponsor case" xfId="2319"/>
    <cellStyle name="_Comma_sum of parts valuation" xfId="2320"/>
    <cellStyle name="_Comma_suppl to integrated" xfId="2321"/>
    <cellStyle name="_Comma_Synergy Analysis" xfId="2322"/>
    <cellStyle name="_Comma_Synergy Analysis_co-advisors" xfId="2323"/>
    <cellStyle name="_Comma_Synergy Calc 1.1 rev 5-yr aug high1_bpace" xfId="2324"/>
    <cellStyle name="_Comma_Synergy Detail _gs" xfId="2325"/>
    <cellStyle name="_Comma_Updated Model - CapitalIQ3" xfId="54"/>
    <cellStyle name="_Comma_Updated Model - CapitalIQ3_sum" xfId="2326"/>
    <cellStyle name="_Comma_US Holdco Tax Model v2" xfId="2327"/>
    <cellStyle name="_Comma_Veeco Guideline Comps" xfId="55"/>
    <cellStyle name="_Comma_Veeco Guideline Comps_sum" xfId="2328"/>
    <cellStyle name="_Comma_WACCv2" xfId="56"/>
    <cellStyle name="_Comma_WACCv2_sum" xfId="2329"/>
    <cellStyle name="_Comma_WEDC DSD Guideline Comps" xfId="57"/>
    <cellStyle name="_Comma_WEDC DSD Guideline Comps_sum" xfId="2330"/>
    <cellStyle name="_Commercial BPS Capex - Q2-to Dallas-v21" xfId="2331"/>
    <cellStyle name="_Commercial BPS Capex - Q2-to Dallas-v4" xfId="2332"/>
    <cellStyle name="_Cowboy DCF v11 09-27-06 (Final)-KH" xfId="2333"/>
    <cellStyle name="_Currency" xfId="58"/>
    <cellStyle name="_Currency_03 Financial Projections" xfId="2334"/>
    <cellStyle name="_Currency_08 FB &amp; Milan IS" xfId="2335"/>
    <cellStyle name="_Currency_3-19 In Progress Model" xfId="2599"/>
    <cellStyle name="_Currency_3-19 In Progress Model_LTM Schedule 01 31 08" xfId="2600"/>
    <cellStyle name="_Currency_Backup_Orange Financial Projections" xfId="2336"/>
    <cellStyle name="_Currency_BCP Model" xfId="2337"/>
    <cellStyle name="_Currency_Book1" xfId="2338"/>
    <cellStyle name="_Currency_Book3" xfId="2339"/>
    <cellStyle name="_Currency_Canon CapIQ linked v1" xfId="59"/>
    <cellStyle name="_Currency_CapitalIQ - 7.17.06 v4" xfId="60"/>
    <cellStyle name="_Currency_Church's Model" xfId="2340"/>
    <cellStyle name="_Currency_Combined Synergy Presentation" xfId="2341"/>
    <cellStyle name="_Currency_Comparable Company Analysis (version 1)" xfId="61"/>
    <cellStyle name="_Currency_Contrib_by_mill" xfId="2342"/>
    <cellStyle name="_Currency_dcf" xfId="2343"/>
    <cellStyle name="_Currency_DCF Analysis" xfId="62"/>
    <cellStyle name="_Currency_DCF_Orange" xfId="2344"/>
    <cellStyle name="_Currency_EMS_Guideline Comps_unlinked" xfId="2345"/>
    <cellStyle name="_Currency_Eric CapIQ unlinked v1" xfId="63"/>
    <cellStyle name="_Currency_Foreign Holdco Base Case 10.25.04" xfId="2346"/>
    <cellStyle name="_Currency_Guideline Comps Set 1_unlinked" xfId="64"/>
    <cellStyle name="_Currency_Guideline Comps Set 2_unlinked" xfId="65"/>
    <cellStyle name="_Currency_H-G Holdings race car v5 (change dep)" xfId="66"/>
    <cellStyle name="_Currency_integrated_merger" xfId="2601"/>
    <cellStyle name="_Currency_IS by Div 12-00 AC v4" xfId="2347"/>
    <cellStyle name="_Currency_IS by Div 12-01 AC v4" xfId="2348"/>
    <cellStyle name="_Currency_IS by Div 12-02 AC v4" xfId="2349"/>
    <cellStyle name="_Currency_IS by Div 12-98 AC v4" xfId="2350"/>
    <cellStyle name="_Currency_IS by Div 12-99 AC v4" xfId="2351"/>
    <cellStyle name="_Currency_IS by Div Summary 1998-2002" xfId="2352"/>
    <cellStyle name="_Currency_Knology Model" xfId="2353"/>
    <cellStyle name="_Currency_lbo_long_model" xfId="67"/>
    <cellStyle name="_Currency_Map of LTM" xfId="2354"/>
    <cellStyle name="_Currency_MCSM v57" xfId="2355"/>
    <cellStyle name="_Currency_Medicis WACC" xfId="68"/>
    <cellStyle name="_Currency_Meggitt AirDynamics WACC" xfId="69"/>
    <cellStyle name="_Currency_Model Assumptions" xfId="2356"/>
    <cellStyle name="_Currency_Model Assumptions (2)" xfId="2357"/>
    <cellStyle name="_Currency_Model Assumptions 11-10-2003" xfId="2358"/>
    <cellStyle name="_Currency_Monarch Capital Structure Model v22 (ac)" xfId="2359"/>
    <cellStyle name="_Currency_NIKE checkpoints" xfId="2602"/>
    <cellStyle name="_Currency_Orange Credit Comp" xfId="2360"/>
    <cellStyle name="_Currency_P&amp;FP IG 2Q02 Comps" xfId="2361"/>
    <cellStyle name="_Currency_P&amp;N Quarterly Consolidated02" xfId="2362"/>
    <cellStyle name="_Currency_personal" xfId="2363"/>
    <cellStyle name="_Currency_pi5" xfId="2364"/>
    <cellStyle name="_Currency_PW Access Revenue" xfId="2365"/>
    <cellStyle name="_Currency_Q1 Update (3-28-05)" xfId="2366"/>
    <cellStyle name="_Currency_Revised Basic Modelv2.4" xfId="70"/>
    <cellStyle name="_Currency_Riviera_v4 Sponsors" xfId="2367"/>
    <cellStyle name="_Currency_Robert pages" xfId="2368"/>
    <cellStyle name="_Currency_Rosedale Medical - VAMS v3" xfId="2369"/>
    <cellStyle name="_Currency_Rosedale Medical Market Model v4" xfId="2370"/>
    <cellStyle name="_Currency_S&amp;S Model" xfId="2371"/>
    <cellStyle name="_Currency_Sensitivity Case Comparison" xfId="2372"/>
    <cellStyle name="_Currency_Sept 30 2007 TTM Financial Information" xfId="2373"/>
    <cellStyle name="_Currency_Sheet3" xfId="2374"/>
    <cellStyle name="_Currency_sponsor case" xfId="2375"/>
    <cellStyle name="_Currency_sum of parts valuation" xfId="2376"/>
    <cellStyle name="_Currency_suppl to integrated" xfId="2377"/>
    <cellStyle name="_Currency_surbid4 cloture" xfId="2378"/>
    <cellStyle name="_Currency_surbid4 cloture_1" xfId="2379"/>
    <cellStyle name="_Currency_Synergy Analysis" xfId="2380"/>
    <cellStyle name="_Currency_Synergy Analysis_co-advisors" xfId="2381"/>
    <cellStyle name="_Currency_Synergy Calc 1.1 rev 5-yr aug high1_bpace" xfId="2382"/>
    <cellStyle name="_Currency_Synergy Detail _gs" xfId="2383"/>
    <cellStyle name="_Currency_tropicos5" xfId="2384"/>
    <cellStyle name="_Currency_Updated Model - CapitalIQ3" xfId="71"/>
    <cellStyle name="_Currency_US Holdco Tax Model v2" xfId="2385"/>
    <cellStyle name="_Currency_Veeco Guideline Comps" xfId="72"/>
    <cellStyle name="_Currency_voice1.xls Chart 1" xfId="2386"/>
    <cellStyle name="_Currency_WACCv2" xfId="73"/>
    <cellStyle name="_Currency_WEDC DSD Guideline Comps" xfId="74"/>
    <cellStyle name="_CurrencySpace" xfId="75"/>
    <cellStyle name="_CurrencySpace_03 Financial Projections" xfId="2387"/>
    <cellStyle name="_CurrencySpace_3-19 In Progress Model" xfId="2603"/>
    <cellStyle name="_CurrencySpace_Backup_Orange Financial Projections" xfId="2388"/>
    <cellStyle name="_CurrencySpace_BCP Model" xfId="2389"/>
    <cellStyle name="_CurrencySpace_Book1" xfId="2390"/>
    <cellStyle name="_CurrencySpace_Book1_Book1" xfId="2391"/>
    <cellStyle name="_CurrencySpace_Canon CapIQ linked v1" xfId="76"/>
    <cellStyle name="_CurrencySpace_CapitalIQ - 7.17.06 v4" xfId="77"/>
    <cellStyle name="_CurrencySpace_Church's Model" xfId="2392"/>
    <cellStyle name="_CurrencySpace_Combined Synergy Presentation" xfId="2393"/>
    <cellStyle name="_CurrencySpace_Comparable Company Analysis (version 1)" xfId="78"/>
    <cellStyle name="_CurrencySpace_dcf" xfId="2394"/>
    <cellStyle name="_CurrencySpace_DCF Analysis" xfId="79"/>
    <cellStyle name="_CurrencySpace_DCF_Orange" xfId="2395"/>
    <cellStyle name="_CurrencySpace_EMS_Guideline Comps_unlinked" xfId="2396"/>
    <cellStyle name="_CurrencySpace_Eric CapIQ unlinked v1" xfId="80"/>
    <cellStyle name="_CurrencySpace_Foreign Holdco Base Case 10.25.04" xfId="2397"/>
    <cellStyle name="_CurrencySpace_Guideline Comps Set 1_unlinked" xfId="81"/>
    <cellStyle name="_CurrencySpace_Guideline Comps Set 2_unlinked" xfId="82"/>
    <cellStyle name="_CurrencySpace_H-G Holdings race car v5 (change dep)" xfId="83"/>
    <cellStyle name="_CurrencySpace_integrated_merger" xfId="2604"/>
    <cellStyle name="_CurrencySpace_IS by Div 12-00 AC v4" xfId="2398"/>
    <cellStyle name="_CurrencySpace_IS by Div 12-01 AC v4" xfId="2399"/>
    <cellStyle name="_CurrencySpace_IS by Div 12-02 AC v4" xfId="2400"/>
    <cellStyle name="_CurrencySpace_IS by Div 12-98 AC v4" xfId="2401"/>
    <cellStyle name="_CurrencySpace_IS by Div 12-99 AC v4" xfId="2402"/>
    <cellStyle name="_CurrencySpace_IS by Div Summary 1998-2002" xfId="2403"/>
    <cellStyle name="_CurrencySpace_Knology Model" xfId="2404"/>
    <cellStyle name="_CurrencySpace_lbo_long_model" xfId="84"/>
    <cellStyle name="_CurrencySpace_Map of LTM" xfId="2405"/>
    <cellStyle name="_CurrencySpace_MCSM v57" xfId="2406"/>
    <cellStyle name="_CurrencySpace_Medicis WACC" xfId="85"/>
    <cellStyle name="_CurrencySpace_Meggitt AirDynamics WACC" xfId="86"/>
    <cellStyle name="_CurrencySpace_Model Assumptions" xfId="2407"/>
    <cellStyle name="_CurrencySpace_Model Assumptions (2)" xfId="2408"/>
    <cellStyle name="_CurrencySpace_Model Assumptions 11-10-2003" xfId="2409"/>
    <cellStyle name="_CurrencySpace_Monarch Capital Structure Model v22 (ac)" xfId="2410"/>
    <cellStyle name="_CurrencySpace_NIKE checkpoints" xfId="2605"/>
    <cellStyle name="_CurrencySpace_Orange Credit Comp" xfId="2411"/>
    <cellStyle name="_CurrencySpace_P&amp;FP IG 2Q02 Comps" xfId="2412"/>
    <cellStyle name="_CurrencySpace_personal" xfId="2413"/>
    <cellStyle name="_CurrencySpace_PW Access Revenue" xfId="2414"/>
    <cellStyle name="_CurrencySpace_Q1 Update (3-28-05)" xfId="2415"/>
    <cellStyle name="_CurrencySpace_Revised Basic Modelv2.4" xfId="87"/>
    <cellStyle name="_CurrencySpace_Robert pages" xfId="2416"/>
    <cellStyle name="_CurrencySpace_Rosedale Medical - VAMS v3" xfId="2417"/>
    <cellStyle name="_CurrencySpace_Rosedale Medical Market Model v4" xfId="2418"/>
    <cellStyle name="_CurrencySpace_S&amp;S Model" xfId="2419"/>
    <cellStyle name="_CurrencySpace_Sensitivity Case Comparison" xfId="2420"/>
    <cellStyle name="_CurrencySpace_Sept 30 2007 TTM Financial Information" xfId="2421"/>
    <cellStyle name="_CurrencySpace_Sheet3" xfId="2422"/>
    <cellStyle name="_CurrencySpace_sponsor case" xfId="2423"/>
    <cellStyle name="_CurrencySpace_sum of parts valuation" xfId="2424"/>
    <cellStyle name="_CurrencySpace_suppl to integrated" xfId="2425"/>
    <cellStyle name="_CurrencySpace_Synergy Analysis" xfId="2426"/>
    <cellStyle name="_CurrencySpace_Synergy Analysis_co-advisors" xfId="2427"/>
    <cellStyle name="_CurrencySpace_Synergy Calc 1.1 rev 5-yr aug high1_bpace" xfId="2428"/>
    <cellStyle name="_CurrencySpace_Synergy Detail _gs" xfId="2429"/>
    <cellStyle name="_CurrencySpace_Updated Model - CapitalIQ3" xfId="88"/>
    <cellStyle name="_CurrencySpace_US Holdco Tax Model v2" xfId="2430"/>
    <cellStyle name="_CurrencySpace_Veeco Guideline Comps" xfId="89"/>
    <cellStyle name="_CurrencySpace_WACCv2" xfId="90"/>
    <cellStyle name="_CurrencySpace_WEDC DSD Guideline Comps" xfId="91"/>
    <cellStyle name="_Data" xfId="2431"/>
    <cellStyle name="_Data 2" xfId="4279"/>
    <cellStyle name="_Data_Sw98_04" xfId="2432"/>
    <cellStyle name="_date" xfId="92"/>
    <cellStyle name="_DCF Santera - Valuation 6_30_05 v.11 - ext dist" xfId="93"/>
    <cellStyle name="_Debt Service" xfId="2433"/>
    <cellStyle name="_Devcon 2007 142 Analysis 4.0" xfId="2434"/>
    <cellStyle name="_Devcon 2007 142 Analysis 4.0 (version 2)" xfId="2435"/>
    <cellStyle name="_Devcon Secuirty 142 1.0" xfId="2436"/>
    <cellStyle name="_Dollar" xfId="2437"/>
    <cellStyle name="_Dollar_7-12 TWC 1" xfId="2438"/>
    <cellStyle name="_Dollar_jons template" xfId="2439"/>
    <cellStyle name="_DSH 2007 Financial Model (May Actual) v6" xfId="2440"/>
    <cellStyle name="_ESA Schedules for Sponsor Group dd update" xfId="2441"/>
    <cellStyle name="_eTelecare 2006 BEV FINAL" xfId="2442"/>
    <cellStyle name="_Euro" xfId="94"/>
    <cellStyle name="_Euro_Book1" xfId="2443"/>
    <cellStyle name="_Euro_Cable_Industry Overview5" xfId="95"/>
    <cellStyle name="_Euro_Cable_Industry Overview5_sum" xfId="2444"/>
    <cellStyle name="_Euro_Gelco Model" xfId="96"/>
    <cellStyle name="_Euro_Gelco Model_sum" xfId="2445"/>
    <cellStyle name="_Euro_IS by Div 12-00 AC v4" xfId="2446"/>
    <cellStyle name="_Euro_IS by Div 12-01 AC v4" xfId="2447"/>
    <cellStyle name="_Euro_IS by Div 12-02 AC v4" xfId="2448"/>
    <cellStyle name="_Euro_IS by Div 12-98 AC v4" xfId="2449"/>
    <cellStyle name="_Euro_IS by Div 12-99 AC v4" xfId="2450"/>
    <cellStyle name="_Euro_IS by Div Summary 1998-2002" xfId="2451"/>
    <cellStyle name="_Euro_Knology Model" xfId="2452"/>
    <cellStyle name="_Euro_LTM Schedule 01 31 08" xfId="2606"/>
    <cellStyle name="_Euro_Mar Financials" xfId="2607"/>
    <cellStyle name="_Euro_Model Assumptions" xfId="2453"/>
    <cellStyle name="_Euro_Model Assumptions (2)" xfId="2454"/>
    <cellStyle name="_Euro_New Quick Cash Flow Model _v10" xfId="2455"/>
    <cellStyle name="_Euro_PW Access Revenue" xfId="2456"/>
    <cellStyle name="_Euro_Sept 30 2007 TTM Financial Information" xfId="2457"/>
    <cellStyle name="_Euro_September Financials - Bank" xfId="2608"/>
    <cellStyle name="_Euro_sum" xfId="2458"/>
    <cellStyle name="_Euro_Summary" xfId="97"/>
    <cellStyle name="_Euro_Summary_sum" xfId="2459"/>
    <cellStyle name="_Exhibits for 10-24-05" xfId="2460"/>
    <cellStyle name="_FS 2005 (USA)" xfId="98"/>
    <cellStyle name="_GBP" xfId="99"/>
    <cellStyle name="_GBP_Bayford Analysis 7.0" xfId="2461"/>
    <cellStyle name="_GBP_CH Jones Analysis FINAL" xfId="2462"/>
    <cellStyle name="_GBP_Respond SFAS 141 v1.2" xfId="2463"/>
    <cellStyle name="_GBP_sum" xfId="2464"/>
    <cellStyle name="_Guideline Comps Set 1_unlinked" xfId="100"/>
    <cellStyle name="_Guideline Comps Set 2_unlinked" xfId="101"/>
    <cellStyle name="_Header" xfId="2465"/>
    <cellStyle name="_Header_Sw98_04" xfId="2466"/>
    <cellStyle name="_Heading" xfId="102"/>
    <cellStyle name="_Heading_02 Charts_NDC" xfId="2467"/>
    <cellStyle name="_Heading_03 Financial Projections" xfId="2468"/>
    <cellStyle name="_Heading_20051229 CVO Contract (V1) (2)" xfId="2469"/>
    <cellStyle name="_Heading_Accel Potentail PA Impacts v2" xfId="2470"/>
    <cellStyle name="_Heading_Backup_Orange Financial Projections" xfId="2471"/>
    <cellStyle name="_Heading_BCP Model" xfId="2472"/>
    <cellStyle name="_Heading_Book1" xfId="2473"/>
    <cellStyle name="_Heading_IS by Div 12-00 AC v4" xfId="2474"/>
    <cellStyle name="_Heading_IS by Div 12-01 AC v4" xfId="2475"/>
    <cellStyle name="_Heading_IS by Div 12-02 AC v4" xfId="2476"/>
    <cellStyle name="_Heading_IS by Div 12-98 AC v4" xfId="2477"/>
    <cellStyle name="_Heading_IS by Div 12-99 AC v4" xfId="2478"/>
    <cellStyle name="_Heading_IS by Div Summary 1998-2002" xfId="2479"/>
    <cellStyle name="_Heading_lbo_long_model" xfId="103"/>
    <cellStyle name="_Heading_MCSM v57" xfId="2480"/>
    <cellStyle name="_Heading_Model Assumptions 11-10-2003" xfId="2481"/>
    <cellStyle name="_Heading_Monarch Capital Structure Model v22 (ac)" xfId="2482"/>
    <cellStyle name="_Heading_Onyx LBO 11-09-05 v19 w taxes2 and purchase acctgv4" xfId="2483"/>
    <cellStyle name="_Heading_Orange Credit Comp" xfId="2484"/>
    <cellStyle name="_Heading_PFP IG 2Q02 Comps" xfId="2485"/>
    <cellStyle name="_Heading_prestemp" xfId="104"/>
    <cellStyle name="_Heading_Project Accel Report Schedules 12-16" xfId="2486"/>
    <cellStyle name="_Heading_Public Debt Exception" xfId="2487"/>
    <cellStyle name="_Heading_Sept 30 2007 TTM Financial Information" xfId="2488"/>
    <cellStyle name="_Heading_sponsor case" xfId="2489"/>
    <cellStyle name="_Heading_sum of parts valuation" xfId="2490"/>
    <cellStyle name="_Heading_suppl to integrated" xfId="2491"/>
    <cellStyle name="_Heading_Watts Model desktop" xfId="2492"/>
    <cellStyle name="_Heading_Watts Model v11" xfId="2493"/>
    <cellStyle name="_Headline" xfId="2494"/>
    <cellStyle name="_Highlight" xfId="105"/>
    <cellStyle name="_Highlight_Book1" xfId="2495"/>
    <cellStyle name="_Highlight_IS by Div 12-00 AC v4" xfId="2496"/>
    <cellStyle name="_Highlight_IS by Div 12-01 AC v4" xfId="2497"/>
    <cellStyle name="_Highlight_IS by Div 12-02 AC v4" xfId="2498"/>
    <cellStyle name="_Highlight_IS by Div 12-98 AC v4" xfId="2499"/>
    <cellStyle name="_Highlight_IS by Div 12-99 AC v4" xfId="2500"/>
    <cellStyle name="_Highlight_IS by Div Summary 1998-2002" xfId="2501"/>
    <cellStyle name="_InfoGenesis May 2006 BEV 2.0" xfId="106"/>
    <cellStyle name="_IP (DRAFT) v1" xfId="2502"/>
    <cellStyle name="_IP (DRAFT) v6" xfId="2503"/>
    <cellStyle name="_JH_142_Model_v0.2" xfId="2504"/>
    <cellStyle name="_LBO Model  - TPG - 13 June 20041" xfId="2505"/>
    <cellStyle name="_LBO Model  - TPG - 13 June 20041_ESA Schedules for Sponsor Group dd update" xfId="2506"/>
    <cellStyle name="_LBO Model  - TPG - 13 June 20041_Non-Op" xfId="2507"/>
    <cellStyle name="_LBO Model  - TPG - 13 June 20041_PF EBITDA Analysis" xfId="2508"/>
    <cellStyle name="_LIBOR" xfId="107"/>
    <cellStyle name="_LIBOR_IRR grid" xfId="2509"/>
    <cellStyle name="_LIBOR_IRR Model" xfId="108"/>
    <cellStyle name="_LIBOR_IRR Model_sum" xfId="2510"/>
    <cellStyle name="_LIBOR_IRR_ReturnsBlend6-21" xfId="2511"/>
    <cellStyle name="_LIBOR_Mesa_Irr Grid" xfId="109"/>
    <cellStyle name="_LIBOR_Mesa_Irr Grid_sum" xfId="2512"/>
    <cellStyle name="_LIBOR_Monotype QCF Sizing Analysis" xfId="2513"/>
    <cellStyle name="_LIBOR_Monotype Sizing Pricing" xfId="2514"/>
    <cellStyle name="_LIBOR_sum" xfId="2515"/>
    <cellStyle name="_mBal Acquisition Workpaper 12-06-08 (Navigant)" xfId="2516"/>
    <cellStyle name="_MCSM v57" xfId="2517"/>
    <cellStyle name="_Medicis WACC" xfId="110"/>
    <cellStyle name="_MemoHead" xfId="111"/>
    <cellStyle name="_MemoSubHead" xfId="112"/>
    <cellStyle name="_Mgame FinStats 030508" xfId="113"/>
    <cellStyle name="_Monthly NI" xfId="2518"/>
    <cellStyle name="_Multiple" xfId="114"/>
    <cellStyle name="_Multiple_03 Financial Projections" xfId="2519"/>
    <cellStyle name="_Multiple_3-19 In Progress Model" xfId="2609"/>
    <cellStyle name="_Multiple_7-12 TWC 1" xfId="2520"/>
    <cellStyle name="_Multiple_AdelphiaFinancialSummary_25" xfId="2521"/>
    <cellStyle name="_Multiple_Backup_Orange Financial Projections" xfId="2522"/>
    <cellStyle name="_Multiple_BCP Model" xfId="2523"/>
    <cellStyle name="_Multiple_Book1" xfId="2524"/>
    <cellStyle name="_Multiple_Cable_Industry Overview5" xfId="115"/>
    <cellStyle name="_Multiple_Canon CapIQ linked v1" xfId="116"/>
    <cellStyle name="_Multiple_CapitalIQ - 7.17.06 v4" xfId="117"/>
    <cellStyle name="_Multiple_Church's Model" xfId="2525"/>
    <cellStyle name="_Multiple_Combined Synergy Presentation" xfId="2526"/>
    <cellStyle name="_Multiple_Comparable Company Analysis (version 1)" xfId="118"/>
    <cellStyle name="_Multiple_csc" xfId="2527"/>
    <cellStyle name="_Multiple_dcf" xfId="2528"/>
    <cellStyle name="_Multiple_DCF Analysis" xfId="119"/>
    <cellStyle name="_Multiple_DCF_Orange" xfId="2529"/>
    <cellStyle name="_Multiple_EMS_Guideline Comps_unlinked" xfId="2530"/>
    <cellStyle name="_Multiple_Eric CapIQ unlinked v1" xfId="120"/>
    <cellStyle name="_Multiple_Foreign Holdco Base Case 10.25.04" xfId="2531"/>
    <cellStyle name="_Multiple_Gelco Model" xfId="121"/>
    <cellStyle name="_Multiple_Guideline Comps Set 1_unlinked" xfId="122"/>
    <cellStyle name="_Multiple_Guideline Comps Set 2_unlinked" xfId="123"/>
    <cellStyle name="_Multiple_H-G Holdings race car v5 (change dep)" xfId="124"/>
    <cellStyle name="_Multiple_IS by Div 12-00 AC v4" xfId="2532"/>
    <cellStyle name="_Multiple_IS by Div 12-01 AC v4" xfId="2533"/>
    <cellStyle name="_Multiple_IS by Div 12-02 AC v4" xfId="2534"/>
    <cellStyle name="_Multiple_IS by Div 12-98 AC v4" xfId="2535"/>
    <cellStyle name="_Multiple_IS by Div 12-99 AC v4" xfId="2536"/>
    <cellStyle name="_Multiple_IS by Div Summary 1998-2002" xfId="2537"/>
    <cellStyle name="_Multiple_jons template" xfId="2538"/>
    <cellStyle name="_Multiple_Knology Model" xfId="2539"/>
    <cellStyle name="_Multiple_lbo_long_model" xfId="125"/>
    <cellStyle name="_Multiple_LTM Schedule 01 31 08" xfId="2610"/>
    <cellStyle name="_Multiple_Map of LTM" xfId="2540"/>
    <cellStyle name="_Multiple_Mar Financials" xfId="2611"/>
    <cellStyle name="_Multiple_MCSM v57" xfId="2541"/>
    <cellStyle name="_Multiple_Medicis WACC" xfId="126"/>
    <cellStyle name="_Multiple_Meggitt AirDynamics WACC" xfId="127"/>
    <cellStyle name="_Multiple_Model Assumptions" xfId="2542"/>
    <cellStyle name="_Multiple_Model Assumptions (2)" xfId="2543"/>
    <cellStyle name="_Multiple_Model Assumptions 11-10-2003" xfId="2544"/>
    <cellStyle name="_Multiple_Monarch Capital Structure Model v22 (ac)" xfId="2545"/>
    <cellStyle name="_Multiple_New Quick Cash Flow Model _v10" xfId="2546"/>
    <cellStyle name="_Multiple_NIKE checkpoints" xfId="2612"/>
    <cellStyle name="_Multiple_Orange Credit Comp" xfId="2547"/>
    <cellStyle name="_Multiple_P&amp;FP IG 2Q02 Comps" xfId="2548"/>
    <cellStyle name="_Multiple_pi5" xfId="2549"/>
    <cellStyle name="_Multiple_PW Access Revenue" xfId="2550"/>
    <cellStyle name="_Multiple_Q1 Update (3-28-05)" xfId="2551"/>
    <cellStyle name="_Multiple_Revised Basic Modelv2.4" xfId="128"/>
    <cellStyle name="_Multiple_Riviera_v4 Sponsors" xfId="2552"/>
    <cellStyle name="_Multiple_Robert pages" xfId="2553"/>
    <cellStyle name="_Multiple_Rosedale Medical - VAMS v3" xfId="2554"/>
    <cellStyle name="_Multiple_Rosedale Medical Market Model v4" xfId="2555"/>
    <cellStyle name="_Multiple_S&amp;S Model" xfId="2556"/>
    <cellStyle name="_Multiple_Sensitivity Case Comparison" xfId="2557"/>
    <cellStyle name="_Multiple_Sept 30 2007 TTM Financial Information" xfId="2558"/>
    <cellStyle name="_Multiple_September Financials - Bank" xfId="2613"/>
    <cellStyle name="_Multiple_Sheet3" xfId="2559"/>
    <cellStyle name="_Multiple_sponsor case" xfId="2560"/>
    <cellStyle name="_Multiple_sum of parts valuation" xfId="2561"/>
    <cellStyle name="_Multiple_Summary" xfId="129"/>
    <cellStyle name="_Multiple_suppl to integrated" xfId="2562"/>
    <cellStyle name="_Multiple_surbid4 cloture" xfId="2563"/>
    <cellStyle name="_Multiple_Updated Model - CapitalIQ3" xfId="130"/>
    <cellStyle name="_Multiple_Veeco Guideline Comps" xfId="131"/>
    <cellStyle name="_Multiple_WACCv2" xfId="132"/>
    <cellStyle name="_Multiple_WEDC DSD Guideline Comps" xfId="133"/>
    <cellStyle name="_Multiple_Yield Tables" xfId="134"/>
    <cellStyle name="_MultipleSpace" xfId="135"/>
    <cellStyle name="_MultipleSpace_Canon CapIQ linked v1" xfId="136"/>
    <cellStyle name="_MultipleSpace_CapitalIQ - 7.17.06 v4" xfId="137"/>
    <cellStyle name="_MultipleSpace_Comparable Company Analysis (version 1)" xfId="138"/>
    <cellStyle name="_MultipleSpace_DCF Analysis" xfId="139"/>
    <cellStyle name="_MultipleSpace_Eric CapIQ unlinked v1" xfId="140"/>
    <cellStyle name="_MultipleSpace_Guideline Comps Set 1_unlinked" xfId="141"/>
    <cellStyle name="_MultipleSpace_Guideline Comps Set 2_unlinked" xfId="142"/>
    <cellStyle name="_MultipleSpace_H-G Holdings race car v5 (change dep)" xfId="143"/>
    <cellStyle name="_MultipleSpace_lbo_long_model" xfId="144"/>
    <cellStyle name="_MultipleSpace_Medicis WACC" xfId="145"/>
    <cellStyle name="_MultipleSpace_Meggitt AirDynamics WACC" xfId="146"/>
    <cellStyle name="_MultipleSpace_Revised Basic Modelv2.4" xfId="147"/>
    <cellStyle name="_MultipleSpace_Updated Model - CapitalIQ3" xfId="148"/>
    <cellStyle name="_MultipleSpace_Veeco Guideline Comps" xfId="149"/>
    <cellStyle name="_MultipleSpace_WACCv2" xfId="150"/>
    <cellStyle name="_MultipleSpace_WEDC DSD Guideline Comps" xfId="151"/>
    <cellStyle name="_Nomos WACC" xfId="152"/>
    <cellStyle name="_Percent" xfId="153"/>
    <cellStyle name="_PercentReal" xfId="154"/>
    <cellStyle name="_PercentReal_Gelco Model" xfId="155"/>
    <cellStyle name="_PercentReal_Gelco Overview_3-11-04" xfId="156"/>
    <cellStyle name="_PercentReal_Indicative Term Sheet" xfId="157"/>
    <cellStyle name="_PercentReal_IRR Summary" xfId="158"/>
    <cellStyle name="_PercentReal_PADD" xfId="159"/>
    <cellStyle name="_PercentSpace" xfId="160"/>
    <cellStyle name="_PG사수수료" xfId="161"/>
    <cellStyle name="_PG사수수료_PG사수수료" xfId="162"/>
    <cellStyle name="_pl" xfId="163"/>
    <cellStyle name="_Sheet1" xfId="164"/>
    <cellStyle name="_SubHeading" xfId="165"/>
    <cellStyle name="_SubHeading_lbo_long_model" xfId="166"/>
    <cellStyle name="_SubHeading_prestemp" xfId="167"/>
    <cellStyle name="_Table" xfId="168"/>
    <cellStyle name="_TableHead" xfId="169"/>
    <cellStyle name="_TableHead_Cable_Industry Overview5" xfId="170"/>
    <cellStyle name="_TableHead_Gelco Model" xfId="171"/>
    <cellStyle name="_TableHead_Summary" xfId="172"/>
    <cellStyle name="_TableHead_Yield Tables" xfId="173"/>
    <cellStyle name="_TableRowHead" xfId="174"/>
    <cellStyle name="_TableRowHead_Gelco Model" xfId="175"/>
    <cellStyle name="_TableRowHead_Summary" xfId="176"/>
    <cellStyle name="_TableSuperHead" xfId="177"/>
    <cellStyle name="_TableSuperHead_Cable_Industry Overview5" xfId="178"/>
    <cellStyle name="_TableSuperHead_Gelco Model" xfId="179"/>
    <cellStyle name="_TableSuperHead_Summary" xfId="180"/>
    <cellStyle name="_TableSuperHead_Yield Tables" xfId="181"/>
    <cellStyle name="_Unaudited Financial Statement for 1Q 2005" xfId="182"/>
    <cellStyle name="_Updated Model - CapitalIQ3" xfId="183"/>
    <cellStyle name="_Veeco 2005 SFAS 142 v13" xfId="184"/>
    <cellStyle name="_Veeco Guideline Comps" xfId="185"/>
    <cellStyle name="_Veeco SFAS 142 &amp; 144 - Oct 2004 - v11" xfId="186"/>
    <cellStyle name="_WEDC 142 Sept 2005- v32" xfId="187"/>
    <cellStyle name="_계정명세(2005년_06월)종합" xfId="188"/>
    <cellStyle name="_반기손익(기간별)" xfId="189"/>
    <cellStyle name="_복사본 계정명세(2005년_03월)-유림" xfId="190"/>
    <cellStyle name="_셀트리온결산보고서" xfId="191"/>
    <cellStyle name="_에이엠티04_일반조서" xfId="192"/>
    <cellStyle name="_월례매출_1_상반기_11월당월 (2)_1월" xfId="193"/>
    <cellStyle name="_유.무형자산" xfId="194"/>
    <cellStyle name="_유니켐01_interim" xfId="195"/>
    <cellStyle name="_유니켐01_wk01" xfId="196"/>
    <cellStyle name="_유니켐02반기A123" xfId="197"/>
    <cellStyle name="_인티즌03반기A123" xfId="198"/>
    <cellStyle name="_인티즌2001-연말" xfId="199"/>
    <cellStyle name="_인티즌2003_wk반기" xfId="1523"/>
    <cellStyle name="_제패02_결산감사" xfId="200"/>
    <cellStyle name="_조직유지_총괄표" xfId="201"/>
    <cellStyle name="_주식매입선택권 정리" xfId="202"/>
    <cellStyle name="_총괄공사대갑 " xfId="203"/>
    <cellStyle name="_큐엔텍01_wk01" xfId="204"/>
    <cellStyle name="_큐엔텍01-수정사항" xfId="205"/>
    <cellStyle name="_큐엔텍2001부채기말" xfId="206"/>
    <cellStyle name="_퇴직충당금" xfId="207"/>
    <cellStyle name="_파펙정산표_2005" xfId="208"/>
    <cellStyle name="_프리스네트02-결산감사" xfId="209"/>
    <cellStyle name="_프리스넷반기AR.A123" xfId="210"/>
    <cellStyle name="_하반기 개발비 산정-최종0210(1)" xfId="211"/>
    <cellStyle name="£ BP" xfId="213"/>
    <cellStyle name="£Currency [0]" xfId="214"/>
    <cellStyle name="£Currency [1]" xfId="215"/>
    <cellStyle name="£Currency [2]" xfId="216"/>
    <cellStyle name="£Currency [p]" xfId="217"/>
    <cellStyle name="£Currency [p2]" xfId="218"/>
    <cellStyle name="£Pounds" xfId="219"/>
    <cellStyle name="¥ JY" xfId="220"/>
    <cellStyle name="=C:\WINNT\SYSTEM32\COMMAND.COM" xfId="212"/>
    <cellStyle name="⥜준_제강원가최종_1" xfId="1113"/>
    <cellStyle name="•W€_Capital Structure" xfId="221"/>
    <cellStyle name="\¦ÏÝÌnCp[N" xfId="2212"/>
    <cellStyle name="0" xfId="222"/>
    <cellStyle name="0_APT 141 101603 ver 51" xfId="223"/>
    <cellStyle name="0_assumption page" xfId="224"/>
    <cellStyle name="0_DCF Santera - Valuation 6_30_05 v.11 - ext dist" xfId="225"/>
    <cellStyle name="0_InfoGenesis May 2006 BEV 2.0" xfId="226"/>
    <cellStyle name="0_Mgame FinStats 030508" xfId="227"/>
    <cellStyle name="0_Nomos WACC" xfId="228"/>
    <cellStyle name="0_Veeco 2005 SFAS 142 v13" xfId="229"/>
    <cellStyle name="0_Veeco SFAS 142 &amp; 144 - Oct 2004 - v11" xfId="230"/>
    <cellStyle name="0_WEDC 142 Sept 2005- v32" xfId="231"/>
    <cellStyle name="0000" xfId="1568"/>
    <cellStyle name="000000" xfId="1569"/>
    <cellStyle name="1" xfId="232"/>
    <cellStyle name="1000s1Place" xfId="233"/>
    <cellStyle name="1998" xfId="1570"/>
    <cellStyle name="1Decimal" xfId="234"/>
    <cellStyle name="¹éºÐÀ²_±âÅ¸" xfId="1571"/>
    <cellStyle name="1MMs1Place" xfId="235"/>
    <cellStyle name="1MMs2Places" xfId="236"/>
    <cellStyle name="1월당월 (2)_1월" xfId="237"/>
    <cellStyle name="2)" xfId="238"/>
    <cellStyle name="20 % - Accent1" xfId="2632"/>
    <cellStyle name="20 % - Accent2" xfId="2633"/>
    <cellStyle name="20 % - Accent3" xfId="2634"/>
    <cellStyle name="20 % - Accent4" xfId="2635"/>
    <cellStyle name="20 % - Accent5" xfId="2636"/>
    <cellStyle name="20 % - Accent6" xfId="2637"/>
    <cellStyle name="20% - Accent1 10" xfId="1572"/>
    <cellStyle name="20% - Accent1 11" xfId="1573"/>
    <cellStyle name="20% - Accent1 12" xfId="1574"/>
    <cellStyle name="20% - Accent1 13" xfId="1575"/>
    <cellStyle name="20% - Accent1 14" xfId="2638"/>
    <cellStyle name="20% - Accent1 15" xfId="2639"/>
    <cellStyle name="20% - Accent1 16" xfId="2640"/>
    <cellStyle name="20% - Accent1 17" xfId="2641"/>
    <cellStyle name="20% - Accent1 18" xfId="2642"/>
    <cellStyle name="20% - Accent1 19" xfId="2643"/>
    <cellStyle name="20% - Accent1 2" xfId="1576"/>
    <cellStyle name="20% - Accent1 2 2" xfId="1577"/>
    <cellStyle name="20% - Accent1 2 2 2" xfId="1578"/>
    <cellStyle name="20% - Accent1 2 3" xfId="1579"/>
    <cellStyle name="20% - Accent1 2 3 2" xfId="1580"/>
    <cellStyle name="20% - Accent1 2 4" xfId="1581"/>
    <cellStyle name="20% - Accent1 2_MedaSTAT &amp; NPUT FA Roll Forward" xfId="1582"/>
    <cellStyle name="20% - Accent1 20" xfId="2644"/>
    <cellStyle name="20% - Accent1 21" xfId="2645"/>
    <cellStyle name="20% - Accent1 22" xfId="2646"/>
    <cellStyle name="20% - Accent1 23" xfId="2647"/>
    <cellStyle name="20% - Accent1 24" xfId="2648"/>
    <cellStyle name="20% - Accent1 25" xfId="2649"/>
    <cellStyle name="20% - Accent1 26" xfId="2650"/>
    <cellStyle name="20% - Accent1 27" xfId="2651"/>
    <cellStyle name="20% - Accent1 28" xfId="2652"/>
    <cellStyle name="20% - Accent1 29" xfId="2653"/>
    <cellStyle name="20% - Accent1 3" xfId="1583"/>
    <cellStyle name="20% - Accent1 3 2" xfId="1584"/>
    <cellStyle name="20% - Accent1 3 2 2" xfId="1585"/>
    <cellStyle name="20% - Accent1 3 3" xfId="1586"/>
    <cellStyle name="20% - Accent1 3 3 2" xfId="1587"/>
    <cellStyle name="20% - Accent1 3 4" xfId="1588"/>
    <cellStyle name="20% - Accent1 30" xfId="2654"/>
    <cellStyle name="20% - Accent1 31" xfId="2655"/>
    <cellStyle name="20% - Accent1 32" xfId="2656"/>
    <cellStyle name="20% - Accent1 33" xfId="2657"/>
    <cellStyle name="20% - Accent1 34" xfId="2658"/>
    <cellStyle name="20% - Accent1 35" xfId="2659"/>
    <cellStyle name="20% - Accent1 36" xfId="2660"/>
    <cellStyle name="20% - Accent1 37" xfId="2661"/>
    <cellStyle name="20% - Accent1 38" xfId="2662"/>
    <cellStyle name="20% - Accent1 39" xfId="2663"/>
    <cellStyle name="20% - Accent1 4" xfId="1589"/>
    <cellStyle name="20% - Accent1 4 2" xfId="1590"/>
    <cellStyle name="20% - Accent1 4 3" xfId="2664"/>
    <cellStyle name="20% - Accent1 40" xfId="2665"/>
    <cellStyle name="20% - Accent1 41" xfId="2666"/>
    <cellStyle name="20% - Accent1 42" xfId="2667"/>
    <cellStyle name="20% - Accent1 43" xfId="2668"/>
    <cellStyle name="20% - Accent1 44" xfId="2669"/>
    <cellStyle name="20% - Accent1 45" xfId="2670"/>
    <cellStyle name="20% - Accent1 46" xfId="2671"/>
    <cellStyle name="20% - Accent1 47" xfId="2672"/>
    <cellStyle name="20% - Accent1 48" xfId="239"/>
    <cellStyle name="20% - Accent1 49" xfId="4223"/>
    <cellStyle name="20% - Accent1 5" xfId="1591"/>
    <cellStyle name="20% - Accent1 5 2" xfId="1592"/>
    <cellStyle name="20% - Accent1 5 3" xfId="2673"/>
    <cellStyle name="20% - Accent1 6" xfId="1593"/>
    <cellStyle name="20% - Accent1 7" xfId="1594"/>
    <cellStyle name="20% - Accent1 8" xfId="1595"/>
    <cellStyle name="20% - Accent1 9" xfId="1596"/>
    <cellStyle name="20% - Accent2 10" xfId="1597"/>
    <cellStyle name="20% - Accent2 11" xfId="1598"/>
    <cellStyle name="20% - Accent2 12" xfId="1599"/>
    <cellStyle name="20% - Accent2 13" xfId="1600"/>
    <cellStyle name="20% - Accent2 14" xfId="2674"/>
    <cellStyle name="20% - Accent2 15" xfId="2675"/>
    <cellStyle name="20% - Accent2 16" xfId="2676"/>
    <cellStyle name="20% - Accent2 17" xfId="2677"/>
    <cellStyle name="20% - Accent2 18" xfId="2678"/>
    <cellStyle name="20% - Accent2 19" xfId="2679"/>
    <cellStyle name="20% - Accent2 2" xfId="1601"/>
    <cellStyle name="20% - Accent2 2 2" xfId="1602"/>
    <cellStyle name="20% - Accent2 2 2 2" xfId="1603"/>
    <cellStyle name="20% - Accent2 2 3" xfId="1604"/>
    <cellStyle name="20% - Accent2 2 3 2" xfId="1605"/>
    <cellStyle name="20% - Accent2 2 4" xfId="1606"/>
    <cellStyle name="20% - Accent2 2_MedaSTAT &amp; NPUT FA Roll Forward" xfId="1607"/>
    <cellStyle name="20% - Accent2 20" xfId="2680"/>
    <cellStyle name="20% - Accent2 21" xfId="2681"/>
    <cellStyle name="20% - Accent2 22" xfId="2682"/>
    <cellStyle name="20% - Accent2 23" xfId="2683"/>
    <cellStyle name="20% - Accent2 24" xfId="2684"/>
    <cellStyle name="20% - Accent2 25" xfId="2685"/>
    <cellStyle name="20% - Accent2 26" xfId="2686"/>
    <cellStyle name="20% - Accent2 27" xfId="2687"/>
    <cellStyle name="20% - Accent2 28" xfId="2688"/>
    <cellStyle name="20% - Accent2 29" xfId="2689"/>
    <cellStyle name="20% - Accent2 3" xfId="1608"/>
    <cellStyle name="20% - Accent2 3 2" xfId="1609"/>
    <cellStyle name="20% - Accent2 3 2 2" xfId="1610"/>
    <cellStyle name="20% - Accent2 3 3" xfId="1611"/>
    <cellStyle name="20% - Accent2 3 3 2" xfId="1612"/>
    <cellStyle name="20% - Accent2 3 4" xfId="1613"/>
    <cellStyle name="20% - Accent2 30" xfId="2690"/>
    <cellStyle name="20% - Accent2 31" xfId="2691"/>
    <cellStyle name="20% - Accent2 32" xfId="2692"/>
    <cellStyle name="20% - Accent2 33" xfId="2693"/>
    <cellStyle name="20% - Accent2 34" xfId="2694"/>
    <cellStyle name="20% - Accent2 35" xfId="2695"/>
    <cellStyle name="20% - Accent2 36" xfId="2696"/>
    <cellStyle name="20% - Accent2 37" xfId="2697"/>
    <cellStyle name="20% - Accent2 38" xfId="2698"/>
    <cellStyle name="20% - Accent2 39" xfId="2699"/>
    <cellStyle name="20% - Accent2 4" xfId="1614"/>
    <cellStyle name="20% - Accent2 4 2" xfId="1615"/>
    <cellStyle name="20% - Accent2 4 3" xfId="2700"/>
    <cellStyle name="20% - Accent2 40" xfId="2701"/>
    <cellStyle name="20% - Accent2 41" xfId="2702"/>
    <cellStyle name="20% - Accent2 42" xfId="2703"/>
    <cellStyle name="20% - Accent2 43" xfId="2704"/>
    <cellStyle name="20% - Accent2 44" xfId="2705"/>
    <cellStyle name="20% - Accent2 45" xfId="2706"/>
    <cellStyle name="20% - Accent2 46" xfId="2707"/>
    <cellStyle name="20% - Accent2 47" xfId="2708"/>
    <cellStyle name="20% - Accent2 48" xfId="240"/>
    <cellStyle name="20% - Accent2 49" xfId="4224"/>
    <cellStyle name="20% - Accent2 5" xfId="1616"/>
    <cellStyle name="20% - Accent2 5 2" xfId="1617"/>
    <cellStyle name="20% - Accent2 5 3" xfId="2709"/>
    <cellStyle name="20% - Accent2 6" xfId="1618"/>
    <cellStyle name="20% - Accent2 7" xfId="1619"/>
    <cellStyle name="20% - Accent2 8" xfId="1620"/>
    <cellStyle name="20% - Accent2 9" xfId="1621"/>
    <cellStyle name="20% - Accent3 10" xfId="1622"/>
    <cellStyle name="20% - Accent3 11" xfId="1623"/>
    <cellStyle name="20% - Accent3 12" xfId="1624"/>
    <cellStyle name="20% - Accent3 13" xfId="1625"/>
    <cellStyle name="20% - Accent3 14" xfId="2710"/>
    <cellStyle name="20% - Accent3 15" xfId="2711"/>
    <cellStyle name="20% - Accent3 16" xfId="2712"/>
    <cellStyle name="20% - Accent3 17" xfId="2713"/>
    <cellStyle name="20% - Accent3 18" xfId="2714"/>
    <cellStyle name="20% - Accent3 19" xfId="2715"/>
    <cellStyle name="20% - Accent3 2" xfId="1626"/>
    <cellStyle name="20% - Accent3 2 2" xfId="1627"/>
    <cellStyle name="20% - Accent3 2 2 2" xfId="1628"/>
    <cellStyle name="20% - Accent3 2 3" xfId="1629"/>
    <cellStyle name="20% - Accent3 2 3 2" xfId="1630"/>
    <cellStyle name="20% - Accent3 2 4" xfId="1631"/>
    <cellStyle name="20% - Accent3 2_MedaSTAT &amp; NPUT FA Roll Forward" xfId="1632"/>
    <cellStyle name="20% - Accent3 20" xfId="2716"/>
    <cellStyle name="20% - Accent3 21" xfId="2717"/>
    <cellStyle name="20% - Accent3 22" xfId="2718"/>
    <cellStyle name="20% - Accent3 23" xfId="2719"/>
    <cellStyle name="20% - Accent3 24" xfId="2720"/>
    <cellStyle name="20% - Accent3 25" xfId="2721"/>
    <cellStyle name="20% - Accent3 26" xfId="2722"/>
    <cellStyle name="20% - Accent3 27" xfId="2723"/>
    <cellStyle name="20% - Accent3 28" xfId="2724"/>
    <cellStyle name="20% - Accent3 29" xfId="2725"/>
    <cellStyle name="20% - Accent3 3" xfId="1633"/>
    <cellStyle name="20% - Accent3 3 2" xfId="1634"/>
    <cellStyle name="20% - Accent3 3 2 2" xfId="1635"/>
    <cellStyle name="20% - Accent3 3 3" xfId="1636"/>
    <cellStyle name="20% - Accent3 3 3 2" xfId="1637"/>
    <cellStyle name="20% - Accent3 3 4" xfId="1638"/>
    <cellStyle name="20% - Accent3 30" xfId="2726"/>
    <cellStyle name="20% - Accent3 31" xfId="2727"/>
    <cellStyle name="20% - Accent3 32" xfId="2728"/>
    <cellStyle name="20% - Accent3 33" xfId="2729"/>
    <cellStyle name="20% - Accent3 34" xfId="2730"/>
    <cellStyle name="20% - Accent3 35" xfId="2731"/>
    <cellStyle name="20% - Accent3 36" xfId="2732"/>
    <cellStyle name="20% - Accent3 37" xfId="2733"/>
    <cellStyle name="20% - Accent3 38" xfId="2734"/>
    <cellStyle name="20% - Accent3 39" xfId="2735"/>
    <cellStyle name="20% - Accent3 4" xfId="1639"/>
    <cellStyle name="20% - Accent3 4 2" xfId="1640"/>
    <cellStyle name="20% - Accent3 4 3" xfId="2736"/>
    <cellStyle name="20% - Accent3 40" xfId="2737"/>
    <cellStyle name="20% - Accent3 41" xfId="2738"/>
    <cellStyle name="20% - Accent3 42" xfId="2739"/>
    <cellStyle name="20% - Accent3 43" xfId="2740"/>
    <cellStyle name="20% - Accent3 44" xfId="2741"/>
    <cellStyle name="20% - Accent3 45" xfId="2742"/>
    <cellStyle name="20% - Accent3 46" xfId="2743"/>
    <cellStyle name="20% - Accent3 47" xfId="2744"/>
    <cellStyle name="20% - Accent3 48" xfId="241"/>
    <cellStyle name="20% - Accent3 49" xfId="4225"/>
    <cellStyle name="20% - Accent3 5" xfId="1641"/>
    <cellStyle name="20% - Accent3 5 2" xfId="1642"/>
    <cellStyle name="20% - Accent3 5 3" xfId="2745"/>
    <cellStyle name="20% - Accent3 6" xfId="1643"/>
    <cellStyle name="20% - Accent3 7" xfId="1644"/>
    <cellStyle name="20% - Accent3 8" xfId="1645"/>
    <cellStyle name="20% - Accent3 9" xfId="1646"/>
    <cellStyle name="20% - Accent4 10" xfId="1647"/>
    <cellStyle name="20% - Accent4 11" xfId="1648"/>
    <cellStyle name="20% - Accent4 12" xfId="1649"/>
    <cellStyle name="20% - Accent4 13" xfId="1650"/>
    <cellStyle name="20% - Accent4 14" xfId="2746"/>
    <cellStyle name="20% - Accent4 15" xfId="2747"/>
    <cellStyle name="20% - Accent4 16" xfId="2748"/>
    <cellStyle name="20% - Accent4 17" xfId="2749"/>
    <cellStyle name="20% - Accent4 18" xfId="2750"/>
    <cellStyle name="20% - Accent4 19" xfId="2751"/>
    <cellStyle name="20% - Accent4 2" xfId="1651"/>
    <cellStyle name="20% - Accent4 2 2" xfId="1652"/>
    <cellStyle name="20% - Accent4 2 2 2" xfId="1653"/>
    <cellStyle name="20% - Accent4 2 3" xfId="1654"/>
    <cellStyle name="20% - Accent4 2 3 2" xfId="1655"/>
    <cellStyle name="20% - Accent4 2 4" xfId="1656"/>
    <cellStyle name="20% - Accent4 2_MedaSTAT &amp; NPUT FA Roll Forward" xfId="1657"/>
    <cellStyle name="20% - Accent4 20" xfId="2752"/>
    <cellStyle name="20% - Accent4 21" xfId="2753"/>
    <cellStyle name="20% - Accent4 22" xfId="2754"/>
    <cellStyle name="20% - Accent4 23" xfId="2755"/>
    <cellStyle name="20% - Accent4 24" xfId="2756"/>
    <cellStyle name="20% - Accent4 25" xfId="2757"/>
    <cellStyle name="20% - Accent4 26" xfId="2758"/>
    <cellStyle name="20% - Accent4 27" xfId="2759"/>
    <cellStyle name="20% - Accent4 28" xfId="2760"/>
    <cellStyle name="20% - Accent4 29" xfId="2761"/>
    <cellStyle name="20% - Accent4 3" xfId="1658"/>
    <cellStyle name="20% - Accent4 3 2" xfId="1659"/>
    <cellStyle name="20% - Accent4 3 2 2" xfId="1660"/>
    <cellStyle name="20% - Accent4 3 3" xfId="1661"/>
    <cellStyle name="20% - Accent4 3 3 2" xfId="1662"/>
    <cellStyle name="20% - Accent4 3 4" xfId="1663"/>
    <cellStyle name="20% - Accent4 30" xfId="2762"/>
    <cellStyle name="20% - Accent4 31" xfId="2763"/>
    <cellStyle name="20% - Accent4 32" xfId="2764"/>
    <cellStyle name="20% - Accent4 33" xfId="2765"/>
    <cellStyle name="20% - Accent4 34" xfId="2766"/>
    <cellStyle name="20% - Accent4 35" xfId="2767"/>
    <cellStyle name="20% - Accent4 36" xfId="2768"/>
    <cellStyle name="20% - Accent4 37" xfId="2769"/>
    <cellStyle name="20% - Accent4 38" xfId="2770"/>
    <cellStyle name="20% - Accent4 39" xfId="2771"/>
    <cellStyle name="20% - Accent4 4" xfId="1664"/>
    <cellStyle name="20% - Accent4 4 2" xfId="1665"/>
    <cellStyle name="20% - Accent4 4 3" xfId="2772"/>
    <cellStyle name="20% - Accent4 40" xfId="2773"/>
    <cellStyle name="20% - Accent4 41" xfId="2774"/>
    <cellStyle name="20% - Accent4 42" xfId="2775"/>
    <cellStyle name="20% - Accent4 43" xfId="2776"/>
    <cellStyle name="20% - Accent4 44" xfId="2777"/>
    <cellStyle name="20% - Accent4 45" xfId="2778"/>
    <cellStyle name="20% - Accent4 46" xfId="2779"/>
    <cellStyle name="20% - Accent4 47" xfId="2780"/>
    <cellStyle name="20% - Accent4 48" xfId="242"/>
    <cellStyle name="20% - Accent4 49" xfId="4226"/>
    <cellStyle name="20% - Accent4 5" xfId="1666"/>
    <cellStyle name="20% - Accent4 5 2" xfId="1667"/>
    <cellStyle name="20% - Accent4 5 3" xfId="2781"/>
    <cellStyle name="20% - Accent4 6" xfId="1668"/>
    <cellStyle name="20% - Accent4 7" xfId="1669"/>
    <cellStyle name="20% - Accent4 8" xfId="1670"/>
    <cellStyle name="20% - Accent4 9" xfId="1671"/>
    <cellStyle name="20% - Accent5 10" xfId="1672"/>
    <cellStyle name="20% - Accent5 11" xfId="1673"/>
    <cellStyle name="20% - Accent5 12" xfId="1674"/>
    <cellStyle name="20% - Accent5 13" xfId="1675"/>
    <cellStyle name="20% - Accent5 14" xfId="2782"/>
    <cellStyle name="20% - Accent5 15" xfId="2783"/>
    <cellStyle name="20% - Accent5 16" xfId="2784"/>
    <cellStyle name="20% - Accent5 17" xfId="2785"/>
    <cellStyle name="20% - Accent5 18" xfId="2786"/>
    <cellStyle name="20% - Accent5 19" xfId="2787"/>
    <cellStyle name="20% - Accent5 2" xfId="1676"/>
    <cellStyle name="20% - Accent5 2 2" xfId="1677"/>
    <cellStyle name="20% - Accent5 2 2 2" xfId="1678"/>
    <cellStyle name="20% - Accent5 2 3" xfId="1679"/>
    <cellStyle name="20% - Accent5 2 3 2" xfId="1680"/>
    <cellStyle name="20% - Accent5 2 4" xfId="1681"/>
    <cellStyle name="20% - Accent5 2_MedaSTAT &amp; NPUT FA Roll Forward" xfId="1682"/>
    <cellStyle name="20% - Accent5 20" xfId="2788"/>
    <cellStyle name="20% - Accent5 21" xfId="2789"/>
    <cellStyle name="20% - Accent5 22" xfId="2790"/>
    <cellStyle name="20% - Accent5 23" xfId="2791"/>
    <cellStyle name="20% - Accent5 24" xfId="2792"/>
    <cellStyle name="20% - Accent5 25" xfId="2793"/>
    <cellStyle name="20% - Accent5 26" xfId="2794"/>
    <cellStyle name="20% - Accent5 27" xfId="2795"/>
    <cellStyle name="20% - Accent5 28" xfId="2796"/>
    <cellStyle name="20% - Accent5 29" xfId="2797"/>
    <cellStyle name="20% - Accent5 3" xfId="1683"/>
    <cellStyle name="20% - Accent5 3 2" xfId="1684"/>
    <cellStyle name="20% - Accent5 3 2 2" xfId="1685"/>
    <cellStyle name="20% - Accent5 3 3" xfId="1686"/>
    <cellStyle name="20% - Accent5 3 3 2" xfId="1687"/>
    <cellStyle name="20% - Accent5 3 4" xfId="1688"/>
    <cellStyle name="20% - Accent5 30" xfId="2798"/>
    <cellStyle name="20% - Accent5 31" xfId="2799"/>
    <cellStyle name="20% - Accent5 32" xfId="2800"/>
    <cellStyle name="20% - Accent5 33" xfId="2801"/>
    <cellStyle name="20% - Accent5 34" xfId="2802"/>
    <cellStyle name="20% - Accent5 35" xfId="2803"/>
    <cellStyle name="20% - Accent5 36" xfId="2804"/>
    <cellStyle name="20% - Accent5 37" xfId="2805"/>
    <cellStyle name="20% - Accent5 38" xfId="2806"/>
    <cellStyle name="20% - Accent5 39" xfId="2807"/>
    <cellStyle name="20% - Accent5 4" xfId="1689"/>
    <cellStyle name="20% - Accent5 4 2" xfId="1690"/>
    <cellStyle name="20% - Accent5 4 3" xfId="2808"/>
    <cellStyle name="20% - Accent5 40" xfId="2809"/>
    <cellStyle name="20% - Accent5 41" xfId="2810"/>
    <cellStyle name="20% - Accent5 42" xfId="2811"/>
    <cellStyle name="20% - Accent5 43" xfId="2812"/>
    <cellStyle name="20% - Accent5 44" xfId="2813"/>
    <cellStyle name="20% - Accent5 45" xfId="2814"/>
    <cellStyle name="20% - Accent5 46" xfId="2815"/>
    <cellStyle name="20% - Accent5 47" xfId="2816"/>
    <cellStyle name="20% - Accent5 48" xfId="243"/>
    <cellStyle name="20% - Accent5 49" xfId="4227"/>
    <cellStyle name="20% - Accent5 5" xfId="1691"/>
    <cellStyle name="20% - Accent5 5 2" xfId="1692"/>
    <cellStyle name="20% - Accent5 5 3" xfId="2817"/>
    <cellStyle name="20% - Accent5 6" xfId="1693"/>
    <cellStyle name="20% - Accent5 7" xfId="1694"/>
    <cellStyle name="20% - Accent5 8" xfId="1695"/>
    <cellStyle name="20% - Accent5 9" xfId="1696"/>
    <cellStyle name="20% - Accent6 10" xfId="1697"/>
    <cellStyle name="20% - Accent6 11" xfId="1698"/>
    <cellStyle name="20% - Accent6 12" xfId="1699"/>
    <cellStyle name="20% - Accent6 13" xfId="1700"/>
    <cellStyle name="20% - Accent6 14" xfId="2818"/>
    <cellStyle name="20% - Accent6 15" xfId="2819"/>
    <cellStyle name="20% - Accent6 16" xfId="2820"/>
    <cellStyle name="20% - Accent6 17" xfId="2821"/>
    <cellStyle name="20% - Accent6 18" xfId="2822"/>
    <cellStyle name="20% - Accent6 19" xfId="2823"/>
    <cellStyle name="20% - Accent6 2" xfId="1701"/>
    <cellStyle name="20% - Accent6 2 2" xfId="1702"/>
    <cellStyle name="20% - Accent6 2 2 2" xfId="1703"/>
    <cellStyle name="20% - Accent6 2 3" xfId="1704"/>
    <cellStyle name="20% - Accent6 2 3 2" xfId="1705"/>
    <cellStyle name="20% - Accent6 2 4" xfId="1706"/>
    <cellStyle name="20% - Accent6 2_MedaSTAT &amp; NPUT FA Roll Forward" xfId="1707"/>
    <cellStyle name="20% - Accent6 20" xfId="2824"/>
    <cellStyle name="20% - Accent6 21" xfId="2825"/>
    <cellStyle name="20% - Accent6 22" xfId="2826"/>
    <cellStyle name="20% - Accent6 23" xfId="2827"/>
    <cellStyle name="20% - Accent6 24" xfId="2828"/>
    <cellStyle name="20% - Accent6 25" xfId="2829"/>
    <cellStyle name="20% - Accent6 26" xfId="2830"/>
    <cellStyle name="20% - Accent6 27" xfId="2831"/>
    <cellStyle name="20% - Accent6 28" xfId="2832"/>
    <cellStyle name="20% - Accent6 29" xfId="2833"/>
    <cellStyle name="20% - Accent6 3" xfId="1708"/>
    <cellStyle name="20% - Accent6 3 2" xfId="1709"/>
    <cellStyle name="20% - Accent6 3 2 2" xfId="1710"/>
    <cellStyle name="20% - Accent6 3 3" xfId="1711"/>
    <cellStyle name="20% - Accent6 3 3 2" xfId="1712"/>
    <cellStyle name="20% - Accent6 3 4" xfId="1713"/>
    <cellStyle name="20% - Accent6 30" xfId="2834"/>
    <cellStyle name="20% - Accent6 31" xfId="2835"/>
    <cellStyle name="20% - Accent6 32" xfId="2836"/>
    <cellStyle name="20% - Accent6 33" xfId="2837"/>
    <cellStyle name="20% - Accent6 34" xfId="2838"/>
    <cellStyle name="20% - Accent6 35" xfId="2839"/>
    <cellStyle name="20% - Accent6 36" xfId="2840"/>
    <cellStyle name="20% - Accent6 37" xfId="2841"/>
    <cellStyle name="20% - Accent6 38" xfId="2842"/>
    <cellStyle name="20% - Accent6 39" xfId="2843"/>
    <cellStyle name="20% - Accent6 4" xfId="1714"/>
    <cellStyle name="20% - Accent6 4 2" xfId="1715"/>
    <cellStyle name="20% - Accent6 4 3" xfId="2844"/>
    <cellStyle name="20% - Accent6 40" xfId="2845"/>
    <cellStyle name="20% - Accent6 41" xfId="2846"/>
    <cellStyle name="20% - Accent6 42" xfId="2847"/>
    <cellStyle name="20% - Accent6 43" xfId="2848"/>
    <cellStyle name="20% - Accent6 44" xfId="2849"/>
    <cellStyle name="20% - Accent6 45" xfId="2850"/>
    <cellStyle name="20% - Accent6 46" xfId="2851"/>
    <cellStyle name="20% - Accent6 47" xfId="2852"/>
    <cellStyle name="20% - Accent6 48" xfId="244"/>
    <cellStyle name="20% - Accent6 49" xfId="4228"/>
    <cellStyle name="20% - Accent6 5" xfId="1716"/>
    <cellStyle name="20% - Accent6 5 2" xfId="1717"/>
    <cellStyle name="20% - Accent6 5 3" xfId="2853"/>
    <cellStyle name="20% - Accent6 6" xfId="1718"/>
    <cellStyle name="20% - Accent6 7" xfId="1719"/>
    <cellStyle name="20% - Accent6 8" xfId="1720"/>
    <cellStyle name="20% - Accent6 9" xfId="1721"/>
    <cellStyle name="20% - Ênfase1" xfId="2854"/>
    <cellStyle name="20% - Ênfase2" xfId="2855"/>
    <cellStyle name="20% - Ênfase3" xfId="2856"/>
    <cellStyle name="20% - Ênfase4" xfId="2857"/>
    <cellStyle name="20% - Ênfase5" xfId="2858"/>
    <cellStyle name="20% - Ênfase6" xfId="2859"/>
    <cellStyle name="20% - Énfasis1 10" xfId="2860"/>
    <cellStyle name="20% - Énfasis1 10 2" xfId="2861"/>
    <cellStyle name="20% - Énfasis1 11" xfId="2862"/>
    <cellStyle name="20% - Énfasis1 11 2" xfId="2863"/>
    <cellStyle name="20% - Énfasis1 12" xfId="2864"/>
    <cellStyle name="20% - Énfasis1 12 2" xfId="2865"/>
    <cellStyle name="20% - Énfasis1 13" xfId="2866"/>
    <cellStyle name="20% - Énfasis1 13 2" xfId="2867"/>
    <cellStyle name="20% - Énfasis1 14" xfId="2868"/>
    <cellStyle name="20% - Énfasis1 14 2" xfId="2869"/>
    <cellStyle name="20% - Énfasis1 15" xfId="2870"/>
    <cellStyle name="20% - Énfasis1 15 2" xfId="2871"/>
    <cellStyle name="20% - Énfasis1 16" xfId="2872"/>
    <cellStyle name="20% - Énfasis1 16 2" xfId="2873"/>
    <cellStyle name="20% - Énfasis1 17" xfId="2874"/>
    <cellStyle name="20% - Énfasis1 17 2" xfId="2875"/>
    <cellStyle name="20% - Énfasis1 18" xfId="2876"/>
    <cellStyle name="20% - Énfasis1 18 2" xfId="2877"/>
    <cellStyle name="20% - Énfasis1 19" xfId="2878"/>
    <cellStyle name="20% - Énfasis1 19 2" xfId="2879"/>
    <cellStyle name="20% - Énfasis1 2" xfId="2880"/>
    <cellStyle name="20% - Énfasis1 2 2" xfId="2881"/>
    <cellStyle name="20% - Énfasis1 20" xfId="2882"/>
    <cellStyle name="20% - Énfasis1 20 2" xfId="2883"/>
    <cellStyle name="20% - Énfasis1 21" xfId="2884"/>
    <cellStyle name="20% - Énfasis1 21 2" xfId="2885"/>
    <cellStyle name="20% - Énfasis1 22" xfId="2886"/>
    <cellStyle name="20% - Énfasis1 22 2" xfId="2887"/>
    <cellStyle name="20% - Énfasis1 23" xfId="2888"/>
    <cellStyle name="20% - Énfasis1 23 2" xfId="2889"/>
    <cellStyle name="20% - Énfasis1 24" xfId="2890"/>
    <cellStyle name="20% - Énfasis1 24 2" xfId="2891"/>
    <cellStyle name="20% - Énfasis1 25" xfId="2892"/>
    <cellStyle name="20% - Énfasis1 25 2" xfId="2893"/>
    <cellStyle name="20% - Énfasis1 26" xfId="2894"/>
    <cellStyle name="20% - Énfasis1 26 2" xfId="2895"/>
    <cellStyle name="20% - Énfasis1 27" xfId="2896"/>
    <cellStyle name="20% - Énfasis1 27 2" xfId="2897"/>
    <cellStyle name="20% - Énfasis1 28" xfId="2898"/>
    <cellStyle name="20% - Énfasis1 28 2" xfId="2899"/>
    <cellStyle name="20% - Énfasis1 29" xfId="2900"/>
    <cellStyle name="20% - Énfasis1 29 2" xfId="2901"/>
    <cellStyle name="20% - Énfasis1 3" xfId="2902"/>
    <cellStyle name="20% - Énfasis1 3 2" xfId="2903"/>
    <cellStyle name="20% - Énfasis1 30" xfId="2904"/>
    <cellStyle name="20% - Énfasis1 30 2" xfId="2905"/>
    <cellStyle name="20% - Énfasis1 31" xfId="2906"/>
    <cellStyle name="20% - Énfasis1 31 2" xfId="2907"/>
    <cellStyle name="20% - Énfasis1 32" xfId="2908"/>
    <cellStyle name="20% - Énfasis1 32 2" xfId="2909"/>
    <cellStyle name="20% - Énfasis1 33" xfId="2910"/>
    <cellStyle name="20% - Énfasis1 33 2" xfId="2911"/>
    <cellStyle name="20% - Énfasis1 34" xfId="2912"/>
    <cellStyle name="20% - Énfasis1 34 2" xfId="2913"/>
    <cellStyle name="20% - Énfasis1 35" xfId="2914"/>
    <cellStyle name="20% - Énfasis1 35 2" xfId="2915"/>
    <cellStyle name="20% - Énfasis1 36" xfId="2916"/>
    <cellStyle name="20% - Énfasis1 36 2" xfId="2917"/>
    <cellStyle name="20% - Énfasis1 37" xfId="2918"/>
    <cellStyle name="20% - Énfasis1 37 2" xfId="2919"/>
    <cellStyle name="20% - Énfasis1 38" xfId="2920"/>
    <cellStyle name="20% - Énfasis1 38 2" xfId="2921"/>
    <cellStyle name="20% - Énfasis1 39" xfId="2922"/>
    <cellStyle name="20% - Énfasis1 39 2" xfId="2923"/>
    <cellStyle name="20% - Énfasis1 4" xfId="2924"/>
    <cellStyle name="20% - Énfasis1 4 2" xfId="2925"/>
    <cellStyle name="20% - Énfasis1 40" xfId="2926"/>
    <cellStyle name="20% - Énfasis1 40 2" xfId="2927"/>
    <cellStyle name="20% - Énfasis1 41" xfId="2928"/>
    <cellStyle name="20% - Énfasis1 41 2" xfId="2929"/>
    <cellStyle name="20% - Énfasis1 42" xfId="2930"/>
    <cellStyle name="20% - Énfasis1 5" xfId="2931"/>
    <cellStyle name="20% - Énfasis1 5 2" xfId="2932"/>
    <cellStyle name="20% - Énfasis1 6" xfId="2933"/>
    <cellStyle name="20% - Énfasis1 6 2" xfId="2934"/>
    <cellStyle name="20% - Énfasis1 7" xfId="2935"/>
    <cellStyle name="20% - Énfasis1 7 2" xfId="2936"/>
    <cellStyle name="20% - Énfasis1 8" xfId="2937"/>
    <cellStyle name="20% - Énfasis1 8 2" xfId="2938"/>
    <cellStyle name="20% - Énfasis1 9" xfId="2939"/>
    <cellStyle name="20% - Énfasis1 9 2" xfId="2940"/>
    <cellStyle name="20% - Énfasis1_Bases Formato 1" xfId="2941"/>
    <cellStyle name="20% - Énfasis2 10" xfId="2942"/>
    <cellStyle name="20% - Énfasis2 10 2" xfId="2943"/>
    <cellStyle name="20% - Énfasis2 11" xfId="2944"/>
    <cellStyle name="20% - Énfasis2 11 2" xfId="2945"/>
    <cellStyle name="20% - Énfasis2 12" xfId="2946"/>
    <cellStyle name="20% - Énfasis2 12 2" xfId="2947"/>
    <cellStyle name="20% - Énfasis2 13" xfId="2948"/>
    <cellStyle name="20% - Énfasis2 13 2" xfId="2949"/>
    <cellStyle name="20% - Énfasis2 14" xfId="2950"/>
    <cellStyle name="20% - Énfasis2 14 2" xfId="2951"/>
    <cellStyle name="20% - Énfasis2 15" xfId="2952"/>
    <cellStyle name="20% - Énfasis2 15 2" xfId="2953"/>
    <cellStyle name="20% - Énfasis2 16" xfId="2954"/>
    <cellStyle name="20% - Énfasis2 16 2" xfId="2955"/>
    <cellStyle name="20% - Énfasis2 17" xfId="2956"/>
    <cellStyle name="20% - Énfasis2 17 2" xfId="2957"/>
    <cellStyle name="20% - Énfasis2 18" xfId="2958"/>
    <cellStyle name="20% - Énfasis2 18 2" xfId="2959"/>
    <cellStyle name="20% - Énfasis2 19" xfId="2960"/>
    <cellStyle name="20% - Énfasis2 19 2" xfId="2961"/>
    <cellStyle name="20% - Énfasis2 2" xfId="2962"/>
    <cellStyle name="20% - Énfasis2 2 2" xfId="2963"/>
    <cellStyle name="20% - Énfasis2 20" xfId="2964"/>
    <cellStyle name="20% - Énfasis2 20 2" xfId="2965"/>
    <cellStyle name="20% - Énfasis2 21" xfId="2966"/>
    <cellStyle name="20% - Énfasis2 21 2" xfId="2967"/>
    <cellStyle name="20% - Énfasis2 22" xfId="2968"/>
    <cellStyle name="20% - Énfasis2 22 2" xfId="2969"/>
    <cellStyle name="20% - Énfasis2 23" xfId="2970"/>
    <cellStyle name="20% - Énfasis2 23 2" xfId="2971"/>
    <cellStyle name="20% - Énfasis2 24" xfId="2972"/>
    <cellStyle name="20% - Énfasis2 24 2" xfId="2973"/>
    <cellStyle name="20% - Énfasis2 25" xfId="2974"/>
    <cellStyle name="20% - Énfasis2 25 2" xfId="2975"/>
    <cellStyle name="20% - Énfasis2 26" xfId="2976"/>
    <cellStyle name="20% - Énfasis2 26 2" xfId="2977"/>
    <cellStyle name="20% - Énfasis2 27" xfId="2978"/>
    <cellStyle name="20% - Énfasis2 27 2" xfId="2979"/>
    <cellStyle name="20% - Énfasis2 28" xfId="2980"/>
    <cellStyle name="20% - Énfasis2 28 2" xfId="2981"/>
    <cellStyle name="20% - Énfasis2 29" xfId="2982"/>
    <cellStyle name="20% - Énfasis2 29 2" xfId="2983"/>
    <cellStyle name="20% - Énfasis2 3" xfId="2984"/>
    <cellStyle name="20% - Énfasis2 3 2" xfId="2985"/>
    <cellStyle name="20% - Énfasis2 30" xfId="2986"/>
    <cellStyle name="20% - Énfasis2 30 2" xfId="2987"/>
    <cellStyle name="20% - Énfasis2 31" xfId="2988"/>
    <cellStyle name="20% - Énfasis2 31 2" xfId="2989"/>
    <cellStyle name="20% - Énfasis2 32" xfId="2990"/>
    <cellStyle name="20% - Énfasis2 32 2" xfId="2991"/>
    <cellStyle name="20% - Énfasis2 33" xfId="2992"/>
    <cellStyle name="20% - Énfasis2 33 2" xfId="2993"/>
    <cellStyle name="20% - Énfasis2 34" xfId="2994"/>
    <cellStyle name="20% - Énfasis2 34 2" xfId="2995"/>
    <cellStyle name="20% - Énfasis2 35" xfId="2996"/>
    <cellStyle name="20% - Énfasis2 35 2" xfId="2997"/>
    <cellStyle name="20% - Énfasis2 36" xfId="2998"/>
    <cellStyle name="20% - Énfasis2 36 2" xfId="2999"/>
    <cellStyle name="20% - Énfasis2 37" xfId="3000"/>
    <cellStyle name="20% - Énfasis2 37 2" xfId="3001"/>
    <cellStyle name="20% - Énfasis2 38" xfId="3002"/>
    <cellStyle name="20% - Énfasis2 38 2" xfId="3003"/>
    <cellStyle name="20% - Énfasis2 39" xfId="3004"/>
    <cellStyle name="20% - Énfasis2 39 2" xfId="3005"/>
    <cellStyle name="20% - Énfasis2 4" xfId="3006"/>
    <cellStyle name="20% - Énfasis2 4 2" xfId="3007"/>
    <cellStyle name="20% - Énfasis2 40" xfId="3008"/>
    <cellStyle name="20% - Énfasis2 40 2" xfId="3009"/>
    <cellStyle name="20% - Énfasis2 41" xfId="3010"/>
    <cellStyle name="20% - Énfasis2 41 2" xfId="3011"/>
    <cellStyle name="20% - Énfasis2 42" xfId="3012"/>
    <cellStyle name="20% - Énfasis2 5" xfId="3013"/>
    <cellStyle name="20% - Énfasis2 5 2" xfId="3014"/>
    <cellStyle name="20% - Énfasis2 6" xfId="3015"/>
    <cellStyle name="20% - Énfasis2 6 2" xfId="3016"/>
    <cellStyle name="20% - Énfasis2 7" xfId="3017"/>
    <cellStyle name="20% - Énfasis2 7 2" xfId="3018"/>
    <cellStyle name="20% - Énfasis2 8" xfId="3019"/>
    <cellStyle name="20% - Énfasis2 8 2" xfId="3020"/>
    <cellStyle name="20% - Énfasis2 9" xfId="3021"/>
    <cellStyle name="20% - Énfasis2 9 2" xfId="3022"/>
    <cellStyle name="20% - Énfasis2_Bases Formato 1" xfId="3023"/>
    <cellStyle name="20% - Énfasis3 10" xfId="3024"/>
    <cellStyle name="20% - Énfasis3 10 2" xfId="3025"/>
    <cellStyle name="20% - Énfasis3 11" xfId="3026"/>
    <cellStyle name="20% - Énfasis3 11 2" xfId="3027"/>
    <cellStyle name="20% - Énfasis3 12" xfId="3028"/>
    <cellStyle name="20% - Énfasis3 12 2" xfId="3029"/>
    <cellStyle name="20% - Énfasis3 13" xfId="3030"/>
    <cellStyle name="20% - Énfasis3 13 2" xfId="3031"/>
    <cellStyle name="20% - Énfasis3 14" xfId="3032"/>
    <cellStyle name="20% - Énfasis3 14 2" xfId="3033"/>
    <cellStyle name="20% - Énfasis3 15" xfId="3034"/>
    <cellStyle name="20% - Énfasis3 15 2" xfId="3035"/>
    <cellStyle name="20% - Énfasis3 16" xfId="3036"/>
    <cellStyle name="20% - Énfasis3 16 2" xfId="3037"/>
    <cellStyle name="20% - Énfasis3 17" xfId="3038"/>
    <cellStyle name="20% - Énfasis3 17 2" xfId="3039"/>
    <cellStyle name="20% - Énfasis3 18" xfId="3040"/>
    <cellStyle name="20% - Énfasis3 18 2" xfId="3041"/>
    <cellStyle name="20% - Énfasis3 19" xfId="3042"/>
    <cellStyle name="20% - Énfasis3 19 2" xfId="3043"/>
    <cellStyle name="20% - Énfasis3 2" xfId="3044"/>
    <cellStyle name="20% - Énfasis3 2 2" xfId="3045"/>
    <cellStyle name="20% - Énfasis3 20" xfId="3046"/>
    <cellStyle name="20% - Énfasis3 20 2" xfId="3047"/>
    <cellStyle name="20% - Énfasis3 21" xfId="3048"/>
    <cellStyle name="20% - Énfasis3 21 2" xfId="3049"/>
    <cellStyle name="20% - Énfasis3 22" xfId="3050"/>
    <cellStyle name="20% - Énfasis3 22 2" xfId="3051"/>
    <cellStyle name="20% - Énfasis3 23" xfId="3052"/>
    <cellStyle name="20% - Énfasis3 23 2" xfId="3053"/>
    <cellStyle name="20% - Énfasis3 24" xfId="3054"/>
    <cellStyle name="20% - Énfasis3 24 2" xfId="3055"/>
    <cellStyle name="20% - Énfasis3 25" xfId="3056"/>
    <cellStyle name="20% - Énfasis3 25 2" xfId="3057"/>
    <cellStyle name="20% - Énfasis3 26" xfId="3058"/>
    <cellStyle name="20% - Énfasis3 26 2" xfId="3059"/>
    <cellStyle name="20% - Énfasis3 27" xfId="3060"/>
    <cellStyle name="20% - Énfasis3 27 2" xfId="3061"/>
    <cellStyle name="20% - Énfasis3 28" xfId="3062"/>
    <cellStyle name="20% - Énfasis3 28 2" xfId="3063"/>
    <cellStyle name="20% - Énfasis3 29" xfId="3064"/>
    <cellStyle name="20% - Énfasis3 29 2" xfId="3065"/>
    <cellStyle name="20% - Énfasis3 3" xfId="3066"/>
    <cellStyle name="20% - Énfasis3 3 2" xfId="3067"/>
    <cellStyle name="20% - Énfasis3 30" xfId="3068"/>
    <cellStyle name="20% - Énfasis3 30 2" xfId="3069"/>
    <cellStyle name="20% - Énfasis3 31" xfId="3070"/>
    <cellStyle name="20% - Énfasis3 31 2" xfId="3071"/>
    <cellStyle name="20% - Énfasis3 32" xfId="3072"/>
    <cellStyle name="20% - Énfasis3 32 2" xfId="3073"/>
    <cellStyle name="20% - Énfasis3 33" xfId="3074"/>
    <cellStyle name="20% - Énfasis3 33 2" xfId="3075"/>
    <cellStyle name="20% - Énfasis3 34" xfId="3076"/>
    <cellStyle name="20% - Énfasis3 34 2" xfId="3077"/>
    <cellStyle name="20% - Énfasis3 35" xfId="3078"/>
    <cellStyle name="20% - Énfasis3 35 2" xfId="3079"/>
    <cellStyle name="20% - Énfasis3 36" xfId="3080"/>
    <cellStyle name="20% - Énfasis3 36 2" xfId="3081"/>
    <cellStyle name="20% - Énfasis3 37" xfId="3082"/>
    <cellStyle name="20% - Énfasis3 37 2" xfId="3083"/>
    <cellStyle name="20% - Énfasis3 38" xfId="3084"/>
    <cellStyle name="20% - Énfasis3 38 2" xfId="3085"/>
    <cellStyle name="20% - Énfasis3 39" xfId="3086"/>
    <cellStyle name="20% - Énfasis3 39 2" xfId="3087"/>
    <cellStyle name="20% - Énfasis3 4" xfId="3088"/>
    <cellStyle name="20% - Énfasis3 4 2" xfId="3089"/>
    <cellStyle name="20% - Énfasis3 40" xfId="3090"/>
    <cellStyle name="20% - Énfasis3 40 2" xfId="3091"/>
    <cellStyle name="20% - Énfasis3 41" xfId="3092"/>
    <cellStyle name="20% - Énfasis3 41 2" xfId="3093"/>
    <cellStyle name="20% - Énfasis3 42" xfId="3094"/>
    <cellStyle name="20% - Énfasis3 5" xfId="3095"/>
    <cellStyle name="20% - Énfasis3 5 2" xfId="3096"/>
    <cellStyle name="20% - Énfasis3 6" xfId="3097"/>
    <cellStyle name="20% - Énfasis3 6 2" xfId="3098"/>
    <cellStyle name="20% - Énfasis3 7" xfId="3099"/>
    <cellStyle name="20% - Énfasis3 7 2" xfId="3100"/>
    <cellStyle name="20% - Énfasis3 8" xfId="3101"/>
    <cellStyle name="20% - Énfasis3 8 2" xfId="3102"/>
    <cellStyle name="20% - Énfasis3 9" xfId="3103"/>
    <cellStyle name="20% - Énfasis3 9 2" xfId="3104"/>
    <cellStyle name="20% - Énfasis3_Bases Formato 1" xfId="3105"/>
    <cellStyle name="20% - Énfasis4 10" xfId="3106"/>
    <cellStyle name="20% - Énfasis4 10 2" xfId="3107"/>
    <cellStyle name="20% - Énfasis4 11" xfId="3108"/>
    <cellStyle name="20% - Énfasis4 11 2" xfId="3109"/>
    <cellStyle name="20% - Énfasis4 12" xfId="3110"/>
    <cellStyle name="20% - Énfasis4 12 2" xfId="3111"/>
    <cellStyle name="20% - Énfasis4 13" xfId="3112"/>
    <cellStyle name="20% - Énfasis4 13 2" xfId="3113"/>
    <cellStyle name="20% - Énfasis4 14" xfId="3114"/>
    <cellStyle name="20% - Énfasis4 14 2" xfId="3115"/>
    <cellStyle name="20% - Énfasis4 15" xfId="3116"/>
    <cellStyle name="20% - Énfasis4 15 2" xfId="3117"/>
    <cellStyle name="20% - Énfasis4 16" xfId="3118"/>
    <cellStyle name="20% - Énfasis4 16 2" xfId="3119"/>
    <cellStyle name="20% - Énfasis4 17" xfId="3120"/>
    <cellStyle name="20% - Énfasis4 17 2" xfId="3121"/>
    <cellStyle name="20% - Énfasis4 18" xfId="3122"/>
    <cellStyle name="20% - Énfasis4 18 2" xfId="3123"/>
    <cellStyle name="20% - Énfasis4 19" xfId="3124"/>
    <cellStyle name="20% - Énfasis4 19 2" xfId="3125"/>
    <cellStyle name="20% - Énfasis4 2" xfId="3126"/>
    <cellStyle name="20% - Énfasis4 2 2" xfId="3127"/>
    <cellStyle name="20% - Énfasis4 20" xfId="3128"/>
    <cellStyle name="20% - Énfasis4 20 2" xfId="3129"/>
    <cellStyle name="20% - Énfasis4 21" xfId="3130"/>
    <cellStyle name="20% - Énfasis4 21 2" xfId="3131"/>
    <cellStyle name="20% - Énfasis4 22" xfId="3132"/>
    <cellStyle name="20% - Énfasis4 22 2" xfId="3133"/>
    <cellStyle name="20% - Énfasis4 23" xfId="3134"/>
    <cellStyle name="20% - Énfasis4 23 2" xfId="3135"/>
    <cellStyle name="20% - Énfasis4 24" xfId="3136"/>
    <cellStyle name="20% - Énfasis4 24 2" xfId="3137"/>
    <cellStyle name="20% - Énfasis4 25" xfId="3138"/>
    <cellStyle name="20% - Énfasis4 25 2" xfId="3139"/>
    <cellStyle name="20% - Énfasis4 26" xfId="3140"/>
    <cellStyle name="20% - Énfasis4 26 2" xfId="3141"/>
    <cellStyle name="20% - Énfasis4 27" xfId="3142"/>
    <cellStyle name="20% - Énfasis4 27 2" xfId="3143"/>
    <cellStyle name="20% - Énfasis4 28" xfId="3144"/>
    <cellStyle name="20% - Énfasis4 28 2" xfId="3145"/>
    <cellStyle name="20% - Énfasis4 29" xfId="3146"/>
    <cellStyle name="20% - Énfasis4 29 2" xfId="3147"/>
    <cellStyle name="20% - Énfasis4 3" xfId="3148"/>
    <cellStyle name="20% - Énfasis4 3 2" xfId="3149"/>
    <cellStyle name="20% - Énfasis4 30" xfId="3150"/>
    <cellStyle name="20% - Énfasis4 30 2" xfId="3151"/>
    <cellStyle name="20% - Énfasis4 31" xfId="3152"/>
    <cellStyle name="20% - Énfasis4 31 2" xfId="3153"/>
    <cellStyle name="20% - Énfasis4 32" xfId="3154"/>
    <cellStyle name="20% - Énfasis4 32 2" xfId="3155"/>
    <cellStyle name="20% - Énfasis4 33" xfId="3156"/>
    <cellStyle name="20% - Énfasis4 33 2" xfId="3157"/>
    <cellStyle name="20% - Énfasis4 34" xfId="3158"/>
    <cellStyle name="20% - Énfasis4 34 2" xfId="3159"/>
    <cellStyle name="20% - Énfasis4 35" xfId="3160"/>
    <cellStyle name="20% - Énfasis4 35 2" xfId="3161"/>
    <cellStyle name="20% - Énfasis4 36" xfId="3162"/>
    <cellStyle name="20% - Énfasis4 36 2" xfId="3163"/>
    <cellStyle name="20% - Énfasis4 37" xfId="3164"/>
    <cellStyle name="20% - Énfasis4 37 2" xfId="3165"/>
    <cellStyle name="20% - Énfasis4 38" xfId="3166"/>
    <cellStyle name="20% - Énfasis4 38 2" xfId="3167"/>
    <cellStyle name="20% - Énfasis4 39" xfId="3168"/>
    <cellStyle name="20% - Énfasis4 39 2" xfId="3169"/>
    <cellStyle name="20% - Énfasis4 4" xfId="3170"/>
    <cellStyle name="20% - Énfasis4 4 2" xfId="3171"/>
    <cellStyle name="20% - Énfasis4 40" xfId="3172"/>
    <cellStyle name="20% - Énfasis4 40 2" xfId="3173"/>
    <cellStyle name="20% - Énfasis4 41" xfId="3174"/>
    <cellStyle name="20% - Énfasis4 41 2" xfId="3175"/>
    <cellStyle name="20% - Énfasis4 42" xfId="3176"/>
    <cellStyle name="20% - Énfasis4 5" xfId="3177"/>
    <cellStyle name="20% - Énfasis4 5 2" xfId="3178"/>
    <cellStyle name="20% - Énfasis4 6" xfId="3179"/>
    <cellStyle name="20% - Énfasis4 6 2" xfId="3180"/>
    <cellStyle name="20% - Énfasis4 7" xfId="3181"/>
    <cellStyle name="20% - Énfasis4 7 2" xfId="3182"/>
    <cellStyle name="20% - Énfasis4 8" xfId="3183"/>
    <cellStyle name="20% - Énfasis4 8 2" xfId="3184"/>
    <cellStyle name="20% - Énfasis4 9" xfId="3185"/>
    <cellStyle name="20% - Énfasis4 9 2" xfId="3186"/>
    <cellStyle name="20% - Énfasis4_Bases Formato 1" xfId="3187"/>
    <cellStyle name="20% - Énfasis5 10" xfId="3188"/>
    <cellStyle name="20% - Énfasis5 10 2" xfId="3189"/>
    <cellStyle name="20% - Énfasis5 11" xfId="3190"/>
    <cellStyle name="20% - Énfasis5 11 2" xfId="3191"/>
    <cellStyle name="20% - Énfasis5 12" xfId="3192"/>
    <cellStyle name="20% - Énfasis5 12 2" xfId="3193"/>
    <cellStyle name="20% - Énfasis5 13" xfId="3194"/>
    <cellStyle name="20% - Énfasis5 13 2" xfId="3195"/>
    <cellStyle name="20% - Énfasis5 14" xfId="3196"/>
    <cellStyle name="20% - Énfasis5 14 2" xfId="3197"/>
    <cellStyle name="20% - Énfasis5 15" xfId="3198"/>
    <cellStyle name="20% - Énfasis5 15 2" xfId="3199"/>
    <cellStyle name="20% - Énfasis5 16" xfId="3200"/>
    <cellStyle name="20% - Énfasis5 16 2" xfId="3201"/>
    <cellStyle name="20% - Énfasis5 17" xfId="3202"/>
    <cellStyle name="20% - Énfasis5 17 2" xfId="3203"/>
    <cellStyle name="20% - Énfasis5 18" xfId="3204"/>
    <cellStyle name="20% - Énfasis5 18 2" xfId="3205"/>
    <cellStyle name="20% - Énfasis5 19" xfId="3206"/>
    <cellStyle name="20% - Énfasis5 19 2" xfId="3207"/>
    <cellStyle name="20% - Énfasis5 2" xfId="3208"/>
    <cellStyle name="20% - Énfasis5 2 2" xfId="3209"/>
    <cellStyle name="20% - Énfasis5 20" xfId="3210"/>
    <cellStyle name="20% - Énfasis5 20 2" xfId="3211"/>
    <cellStyle name="20% - Énfasis5 21" xfId="3212"/>
    <cellStyle name="20% - Énfasis5 21 2" xfId="3213"/>
    <cellStyle name="20% - Énfasis5 22" xfId="3214"/>
    <cellStyle name="20% - Énfasis5 22 2" xfId="3215"/>
    <cellStyle name="20% - Énfasis5 23" xfId="3216"/>
    <cellStyle name="20% - Énfasis5 23 2" xfId="3217"/>
    <cellStyle name="20% - Énfasis5 24" xfId="3218"/>
    <cellStyle name="20% - Énfasis5 24 2" xfId="3219"/>
    <cellStyle name="20% - Énfasis5 25" xfId="3220"/>
    <cellStyle name="20% - Énfasis5 25 2" xfId="3221"/>
    <cellStyle name="20% - Énfasis5 26" xfId="3222"/>
    <cellStyle name="20% - Énfasis5 26 2" xfId="3223"/>
    <cellStyle name="20% - Énfasis5 27" xfId="3224"/>
    <cellStyle name="20% - Énfasis5 27 2" xfId="3225"/>
    <cellStyle name="20% - Énfasis5 28" xfId="3226"/>
    <cellStyle name="20% - Énfasis5 28 2" xfId="3227"/>
    <cellStyle name="20% - Énfasis5 29" xfId="3228"/>
    <cellStyle name="20% - Énfasis5 29 2" xfId="3229"/>
    <cellStyle name="20% - Énfasis5 3" xfId="3230"/>
    <cellStyle name="20% - Énfasis5 3 2" xfId="3231"/>
    <cellStyle name="20% - Énfasis5 30" xfId="3232"/>
    <cellStyle name="20% - Énfasis5 30 2" xfId="3233"/>
    <cellStyle name="20% - Énfasis5 31" xfId="3234"/>
    <cellStyle name="20% - Énfasis5 31 2" xfId="3235"/>
    <cellStyle name="20% - Énfasis5 32" xfId="3236"/>
    <cellStyle name="20% - Énfasis5 32 2" xfId="3237"/>
    <cellStyle name="20% - Énfasis5 33" xfId="3238"/>
    <cellStyle name="20% - Énfasis5 33 2" xfId="3239"/>
    <cellStyle name="20% - Énfasis5 34" xfId="3240"/>
    <cellStyle name="20% - Énfasis5 34 2" xfId="3241"/>
    <cellStyle name="20% - Énfasis5 35" xfId="3242"/>
    <cellStyle name="20% - Énfasis5 35 2" xfId="3243"/>
    <cellStyle name="20% - Énfasis5 36" xfId="3244"/>
    <cellStyle name="20% - Énfasis5 36 2" xfId="3245"/>
    <cellStyle name="20% - Énfasis5 37" xfId="3246"/>
    <cellStyle name="20% - Énfasis5 37 2" xfId="3247"/>
    <cellStyle name="20% - Énfasis5 38" xfId="3248"/>
    <cellStyle name="20% - Énfasis5 38 2" xfId="3249"/>
    <cellStyle name="20% - Énfasis5 39" xfId="3250"/>
    <cellStyle name="20% - Énfasis5 39 2" xfId="3251"/>
    <cellStyle name="20% - Énfasis5 4" xfId="3252"/>
    <cellStyle name="20% - Énfasis5 4 2" xfId="3253"/>
    <cellStyle name="20% - Énfasis5 40" xfId="3254"/>
    <cellStyle name="20% - Énfasis5 40 2" xfId="3255"/>
    <cellStyle name="20% - Énfasis5 41" xfId="3256"/>
    <cellStyle name="20% - Énfasis5 41 2" xfId="3257"/>
    <cellStyle name="20% - Énfasis5 42" xfId="3258"/>
    <cellStyle name="20% - Énfasis5 5" xfId="3259"/>
    <cellStyle name="20% - Énfasis5 5 2" xfId="3260"/>
    <cellStyle name="20% - Énfasis5 6" xfId="3261"/>
    <cellStyle name="20% - Énfasis5 6 2" xfId="3262"/>
    <cellStyle name="20% - Énfasis5 7" xfId="3263"/>
    <cellStyle name="20% - Énfasis5 7 2" xfId="3264"/>
    <cellStyle name="20% - Énfasis5 8" xfId="3265"/>
    <cellStyle name="20% - Énfasis5 8 2" xfId="3266"/>
    <cellStyle name="20% - Énfasis5 9" xfId="3267"/>
    <cellStyle name="20% - Énfasis5 9 2" xfId="3268"/>
    <cellStyle name="20% - Énfasis5_Bases Formato 1" xfId="3269"/>
    <cellStyle name="20% - Énfasis6 10" xfId="3270"/>
    <cellStyle name="20% - Énfasis6 10 2" xfId="3271"/>
    <cellStyle name="20% - Énfasis6 11" xfId="3272"/>
    <cellStyle name="20% - Énfasis6 11 2" xfId="3273"/>
    <cellStyle name="20% - Énfasis6 12" xfId="3274"/>
    <cellStyle name="20% - Énfasis6 12 2" xfId="3275"/>
    <cellStyle name="20% - Énfasis6 13" xfId="3276"/>
    <cellStyle name="20% - Énfasis6 13 2" xfId="3277"/>
    <cellStyle name="20% - Énfasis6 14" xfId="3278"/>
    <cellStyle name="20% - Énfasis6 14 2" xfId="3279"/>
    <cellStyle name="20% - Énfasis6 15" xfId="3280"/>
    <cellStyle name="20% - Énfasis6 15 2" xfId="3281"/>
    <cellStyle name="20% - Énfasis6 16" xfId="3282"/>
    <cellStyle name="20% - Énfasis6 16 2" xfId="3283"/>
    <cellStyle name="20% - Énfasis6 17" xfId="3284"/>
    <cellStyle name="20% - Énfasis6 17 2" xfId="3285"/>
    <cellStyle name="20% - Énfasis6 18" xfId="3286"/>
    <cellStyle name="20% - Énfasis6 18 2" xfId="3287"/>
    <cellStyle name="20% - Énfasis6 19" xfId="3288"/>
    <cellStyle name="20% - Énfasis6 19 2" xfId="3289"/>
    <cellStyle name="20% - Énfasis6 2" xfId="3290"/>
    <cellStyle name="20% - Énfasis6 2 2" xfId="3291"/>
    <cellStyle name="20% - Énfasis6 20" xfId="3292"/>
    <cellStyle name="20% - Énfasis6 20 2" xfId="3293"/>
    <cellStyle name="20% - Énfasis6 21" xfId="3294"/>
    <cellStyle name="20% - Énfasis6 21 2" xfId="3295"/>
    <cellStyle name="20% - Énfasis6 22" xfId="3296"/>
    <cellStyle name="20% - Énfasis6 22 2" xfId="3297"/>
    <cellStyle name="20% - Énfasis6 23" xfId="3298"/>
    <cellStyle name="20% - Énfasis6 23 2" xfId="3299"/>
    <cellStyle name="20% - Énfasis6 24" xfId="3300"/>
    <cellStyle name="20% - Énfasis6 24 2" xfId="3301"/>
    <cellStyle name="20% - Énfasis6 25" xfId="3302"/>
    <cellStyle name="20% - Énfasis6 25 2" xfId="3303"/>
    <cellStyle name="20% - Énfasis6 26" xfId="3304"/>
    <cellStyle name="20% - Énfasis6 26 2" xfId="3305"/>
    <cellStyle name="20% - Énfasis6 27" xfId="3306"/>
    <cellStyle name="20% - Énfasis6 27 2" xfId="3307"/>
    <cellStyle name="20% - Énfasis6 28" xfId="3308"/>
    <cellStyle name="20% - Énfasis6 28 2" xfId="3309"/>
    <cellStyle name="20% - Énfasis6 29" xfId="3310"/>
    <cellStyle name="20% - Énfasis6 29 2" xfId="3311"/>
    <cellStyle name="20% - Énfasis6 3" xfId="3312"/>
    <cellStyle name="20% - Énfasis6 3 2" xfId="3313"/>
    <cellStyle name="20% - Énfasis6 30" xfId="3314"/>
    <cellStyle name="20% - Énfasis6 30 2" xfId="3315"/>
    <cellStyle name="20% - Énfasis6 31" xfId="3316"/>
    <cellStyle name="20% - Énfasis6 31 2" xfId="3317"/>
    <cellStyle name="20% - Énfasis6 32" xfId="3318"/>
    <cellStyle name="20% - Énfasis6 32 2" xfId="3319"/>
    <cellStyle name="20% - Énfasis6 33" xfId="3320"/>
    <cellStyle name="20% - Énfasis6 33 2" xfId="3321"/>
    <cellStyle name="20% - Énfasis6 34" xfId="3322"/>
    <cellStyle name="20% - Énfasis6 34 2" xfId="3323"/>
    <cellStyle name="20% - Énfasis6 35" xfId="3324"/>
    <cellStyle name="20% - Énfasis6 35 2" xfId="3325"/>
    <cellStyle name="20% - Énfasis6 36" xfId="3326"/>
    <cellStyle name="20% - Énfasis6 36 2" xfId="3327"/>
    <cellStyle name="20% - Énfasis6 37" xfId="3328"/>
    <cellStyle name="20% - Énfasis6 37 2" xfId="3329"/>
    <cellStyle name="20% - Énfasis6 38" xfId="3330"/>
    <cellStyle name="20% - Énfasis6 38 2" xfId="3331"/>
    <cellStyle name="20% - Énfasis6 39" xfId="3332"/>
    <cellStyle name="20% - Énfasis6 39 2" xfId="3333"/>
    <cellStyle name="20% - Énfasis6 4" xfId="3334"/>
    <cellStyle name="20% - Énfasis6 4 2" xfId="3335"/>
    <cellStyle name="20% - Énfasis6 40" xfId="3336"/>
    <cellStyle name="20% - Énfasis6 40 2" xfId="3337"/>
    <cellStyle name="20% - Énfasis6 41" xfId="3338"/>
    <cellStyle name="20% - Énfasis6 41 2" xfId="3339"/>
    <cellStyle name="20% - Énfasis6 42" xfId="3340"/>
    <cellStyle name="20% - Énfasis6 5" xfId="3341"/>
    <cellStyle name="20% - Énfasis6 5 2" xfId="3342"/>
    <cellStyle name="20% - Énfasis6 6" xfId="3343"/>
    <cellStyle name="20% - Énfasis6 6 2" xfId="3344"/>
    <cellStyle name="20% - Énfasis6 7" xfId="3345"/>
    <cellStyle name="20% - Énfasis6 7 2" xfId="3346"/>
    <cellStyle name="20% - Énfasis6 8" xfId="3347"/>
    <cellStyle name="20% - Énfasis6 8 2" xfId="3348"/>
    <cellStyle name="20% - Énfasis6 9" xfId="3349"/>
    <cellStyle name="20% - Énfasis6 9 2" xfId="3350"/>
    <cellStyle name="20% - Énfasis6_Bases Formato 1" xfId="3351"/>
    <cellStyle name="20% - 强调文字颜色 1 2" xfId="3352"/>
    <cellStyle name="20% - 强调文字颜色 1 3" xfId="3353"/>
    <cellStyle name="20% - 强调文字颜色 2 2" xfId="3354"/>
    <cellStyle name="20% - 强调文字颜色 2 3" xfId="3355"/>
    <cellStyle name="20% - 强调文字颜色 3 2" xfId="3356"/>
    <cellStyle name="20% - 强调文字颜色 3 3" xfId="3357"/>
    <cellStyle name="20% - 强调文字颜色 4 2" xfId="3358"/>
    <cellStyle name="20% - 强调文字颜色 4 3" xfId="3359"/>
    <cellStyle name="20% - 强调文字颜色 5 2" xfId="3360"/>
    <cellStyle name="20% - 强调文字颜色 5 3" xfId="3361"/>
    <cellStyle name="20% - 强调文字颜色 6 2" xfId="3362"/>
    <cellStyle name="20% - 强调文字颜色 6 3" xfId="3363"/>
    <cellStyle name="2DecimalPercent" xfId="245"/>
    <cellStyle name="2Decimals" xfId="246"/>
    <cellStyle name="_x0004_3;_x0018_" xfId="247"/>
    <cellStyle name="40 % - Accent1" xfId="3364"/>
    <cellStyle name="40 % - Accent2" xfId="3365"/>
    <cellStyle name="40 % - Accent3" xfId="3366"/>
    <cellStyle name="40 % - Accent4" xfId="3367"/>
    <cellStyle name="40 % - Accent5" xfId="3368"/>
    <cellStyle name="40 % - Accent6" xfId="3369"/>
    <cellStyle name="40% - Accent1 10" xfId="1722"/>
    <cellStyle name="40% - Accent1 11" xfId="1723"/>
    <cellStyle name="40% - Accent1 12" xfId="1724"/>
    <cellStyle name="40% - Accent1 13" xfId="1725"/>
    <cellStyle name="40% - Accent1 14" xfId="3370"/>
    <cellStyle name="40% - Accent1 15" xfId="3371"/>
    <cellStyle name="40% - Accent1 16" xfId="3372"/>
    <cellStyle name="40% - Accent1 17" xfId="3373"/>
    <cellStyle name="40% - Accent1 18" xfId="3374"/>
    <cellStyle name="40% - Accent1 19" xfId="3375"/>
    <cellStyle name="40% - Accent1 2" xfId="1726"/>
    <cellStyle name="40% - Accent1 2 2" xfId="1727"/>
    <cellStyle name="40% - Accent1 2 2 2" xfId="1728"/>
    <cellStyle name="40% - Accent1 2 3" xfId="1729"/>
    <cellStyle name="40% - Accent1 2 3 2" xfId="1730"/>
    <cellStyle name="40% - Accent1 2 4" xfId="1731"/>
    <cellStyle name="40% - Accent1 2_MedaSTAT &amp; NPUT FA Roll Forward" xfId="1732"/>
    <cellStyle name="40% - Accent1 20" xfId="3376"/>
    <cellStyle name="40% - Accent1 21" xfId="3377"/>
    <cellStyle name="40% - Accent1 22" xfId="3378"/>
    <cellStyle name="40% - Accent1 23" xfId="3379"/>
    <cellStyle name="40% - Accent1 24" xfId="3380"/>
    <cellStyle name="40% - Accent1 25" xfId="3381"/>
    <cellStyle name="40% - Accent1 26" xfId="3382"/>
    <cellStyle name="40% - Accent1 27" xfId="3383"/>
    <cellStyle name="40% - Accent1 28" xfId="3384"/>
    <cellStyle name="40% - Accent1 29" xfId="3385"/>
    <cellStyle name="40% - Accent1 3" xfId="1733"/>
    <cellStyle name="40% - Accent1 3 2" xfId="1734"/>
    <cellStyle name="40% - Accent1 3 2 2" xfId="1735"/>
    <cellStyle name="40% - Accent1 3 3" xfId="1736"/>
    <cellStyle name="40% - Accent1 3 3 2" xfId="1737"/>
    <cellStyle name="40% - Accent1 3 4" xfId="1738"/>
    <cellStyle name="40% - Accent1 30" xfId="3386"/>
    <cellStyle name="40% - Accent1 31" xfId="3387"/>
    <cellStyle name="40% - Accent1 32" xfId="3388"/>
    <cellStyle name="40% - Accent1 33" xfId="3389"/>
    <cellStyle name="40% - Accent1 34" xfId="3390"/>
    <cellStyle name="40% - Accent1 35" xfId="3391"/>
    <cellStyle name="40% - Accent1 36" xfId="3392"/>
    <cellStyle name="40% - Accent1 37" xfId="3393"/>
    <cellStyle name="40% - Accent1 38" xfId="3394"/>
    <cellStyle name="40% - Accent1 39" xfId="3395"/>
    <cellStyle name="40% - Accent1 4" xfId="1739"/>
    <cellStyle name="40% - Accent1 4 2" xfId="1740"/>
    <cellStyle name="40% - Accent1 4 3" xfId="3396"/>
    <cellStyle name="40% - Accent1 40" xfId="3397"/>
    <cellStyle name="40% - Accent1 41" xfId="3398"/>
    <cellStyle name="40% - Accent1 42" xfId="3399"/>
    <cellStyle name="40% - Accent1 43" xfId="3400"/>
    <cellStyle name="40% - Accent1 44" xfId="3401"/>
    <cellStyle name="40% - Accent1 45" xfId="3402"/>
    <cellStyle name="40% - Accent1 46" xfId="3403"/>
    <cellStyle name="40% - Accent1 47" xfId="3404"/>
    <cellStyle name="40% - Accent1 48" xfId="248"/>
    <cellStyle name="40% - Accent1 49" xfId="4229"/>
    <cellStyle name="40% - Accent1 5" xfId="1741"/>
    <cellStyle name="40% - Accent1 5 2" xfId="1742"/>
    <cellStyle name="40% - Accent1 5 3" xfId="3405"/>
    <cellStyle name="40% - Accent1 6" xfId="1743"/>
    <cellStyle name="40% - Accent1 7" xfId="1744"/>
    <cellStyle name="40% - Accent1 8" xfId="1745"/>
    <cellStyle name="40% - Accent1 9" xfId="1746"/>
    <cellStyle name="40% - Accent2 10" xfId="1747"/>
    <cellStyle name="40% - Accent2 11" xfId="1748"/>
    <cellStyle name="40% - Accent2 12" xfId="1749"/>
    <cellStyle name="40% - Accent2 13" xfId="1750"/>
    <cellStyle name="40% - Accent2 14" xfId="3406"/>
    <cellStyle name="40% - Accent2 15" xfId="3407"/>
    <cellStyle name="40% - Accent2 16" xfId="3408"/>
    <cellStyle name="40% - Accent2 17" xfId="3409"/>
    <cellStyle name="40% - Accent2 18" xfId="3410"/>
    <cellStyle name="40% - Accent2 19" xfId="3411"/>
    <cellStyle name="40% - Accent2 2" xfId="1751"/>
    <cellStyle name="40% - Accent2 2 2" xfId="1752"/>
    <cellStyle name="40% - Accent2 2 2 2" xfId="1753"/>
    <cellStyle name="40% - Accent2 2 3" xfId="1754"/>
    <cellStyle name="40% - Accent2 2 3 2" xfId="1755"/>
    <cellStyle name="40% - Accent2 2 4" xfId="1756"/>
    <cellStyle name="40% - Accent2 2_MedaSTAT &amp; NPUT FA Roll Forward" xfId="1757"/>
    <cellStyle name="40% - Accent2 20" xfId="3412"/>
    <cellStyle name="40% - Accent2 21" xfId="3413"/>
    <cellStyle name="40% - Accent2 22" xfId="3414"/>
    <cellStyle name="40% - Accent2 23" xfId="3415"/>
    <cellStyle name="40% - Accent2 24" xfId="3416"/>
    <cellStyle name="40% - Accent2 25" xfId="3417"/>
    <cellStyle name="40% - Accent2 26" xfId="3418"/>
    <cellStyle name="40% - Accent2 27" xfId="3419"/>
    <cellStyle name="40% - Accent2 28" xfId="3420"/>
    <cellStyle name="40% - Accent2 29" xfId="3421"/>
    <cellStyle name="40% - Accent2 3" xfId="1758"/>
    <cellStyle name="40% - Accent2 3 2" xfId="1759"/>
    <cellStyle name="40% - Accent2 3 2 2" xfId="1760"/>
    <cellStyle name="40% - Accent2 3 3" xfId="1761"/>
    <cellStyle name="40% - Accent2 3 3 2" xfId="1762"/>
    <cellStyle name="40% - Accent2 3 4" xfId="1763"/>
    <cellStyle name="40% - Accent2 30" xfId="3422"/>
    <cellStyle name="40% - Accent2 31" xfId="3423"/>
    <cellStyle name="40% - Accent2 32" xfId="3424"/>
    <cellStyle name="40% - Accent2 33" xfId="3425"/>
    <cellStyle name="40% - Accent2 34" xfId="3426"/>
    <cellStyle name="40% - Accent2 35" xfId="3427"/>
    <cellStyle name="40% - Accent2 36" xfId="3428"/>
    <cellStyle name="40% - Accent2 37" xfId="3429"/>
    <cellStyle name="40% - Accent2 38" xfId="3430"/>
    <cellStyle name="40% - Accent2 39" xfId="3431"/>
    <cellStyle name="40% - Accent2 4" xfId="1764"/>
    <cellStyle name="40% - Accent2 4 2" xfId="1765"/>
    <cellStyle name="40% - Accent2 4 3" xfId="3432"/>
    <cellStyle name="40% - Accent2 40" xfId="3433"/>
    <cellStyle name="40% - Accent2 41" xfId="3434"/>
    <cellStyle name="40% - Accent2 42" xfId="3435"/>
    <cellStyle name="40% - Accent2 43" xfId="3436"/>
    <cellStyle name="40% - Accent2 44" xfId="3437"/>
    <cellStyle name="40% - Accent2 45" xfId="3438"/>
    <cellStyle name="40% - Accent2 46" xfId="3439"/>
    <cellStyle name="40% - Accent2 47" xfId="3440"/>
    <cellStyle name="40% - Accent2 48" xfId="249"/>
    <cellStyle name="40% - Accent2 49" xfId="4230"/>
    <cellStyle name="40% - Accent2 5" xfId="1766"/>
    <cellStyle name="40% - Accent2 5 2" xfId="1767"/>
    <cellStyle name="40% - Accent2 5 3" xfId="3441"/>
    <cellStyle name="40% - Accent2 6" xfId="1768"/>
    <cellStyle name="40% - Accent2 7" xfId="1769"/>
    <cellStyle name="40% - Accent2 8" xfId="1770"/>
    <cellStyle name="40% - Accent2 9" xfId="1771"/>
    <cellStyle name="40% - Accent3 10" xfId="1772"/>
    <cellStyle name="40% - Accent3 11" xfId="1773"/>
    <cellStyle name="40% - Accent3 12" xfId="1774"/>
    <cellStyle name="40% - Accent3 13" xfId="1775"/>
    <cellStyle name="40% - Accent3 14" xfId="3442"/>
    <cellStyle name="40% - Accent3 15" xfId="3443"/>
    <cellStyle name="40% - Accent3 16" xfId="3444"/>
    <cellStyle name="40% - Accent3 17" xfId="3445"/>
    <cellStyle name="40% - Accent3 18" xfId="3446"/>
    <cellStyle name="40% - Accent3 19" xfId="3447"/>
    <cellStyle name="40% - Accent3 2" xfId="1776"/>
    <cellStyle name="40% - Accent3 2 2" xfId="1777"/>
    <cellStyle name="40% - Accent3 2 2 2" xfId="1778"/>
    <cellStyle name="40% - Accent3 2 3" xfId="1779"/>
    <cellStyle name="40% - Accent3 2 3 2" xfId="1780"/>
    <cellStyle name="40% - Accent3 2 4" xfId="1781"/>
    <cellStyle name="40% - Accent3 2_MedaSTAT &amp; NPUT FA Roll Forward" xfId="1782"/>
    <cellStyle name="40% - Accent3 20" xfId="3448"/>
    <cellStyle name="40% - Accent3 21" xfId="3449"/>
    <cellStyle name="40% - Accent3 22" xfId="3450"/>
    <cellStyle name="40% - Accent3 23" xfId="3451"/>
    <cellStyle name="40% - Accent3 24" xfId="3452"/>
    <cellStyle name="40% - Accent3 25" xfId="3453"/>
    <cellStyle name="40% - Accent3 26" xfId="3454"/>
    <cellStyle name="40% - Accent3 27" xfId="3455"/>
    <cellStyle name="40% - Accent3 28" xfId="3456"/>
    <cellStyle name="40% - Accent3 29" xfId="3457"/>
    <cellStyle name="40% - Accent3 3" xfId="1783"/>
    <cellStyle name="40% - Accent3 3 2" xfId="1784"/>
    <cellStyle name="40% - Accent3 3 2 2" xfId="1785"/>
    <cellStyle name="40% - Accent3 3 3" xfId="1786"/>
    <cellStyle name="40% - Accent3 3 3 2" xfId="1787"/>
    <cellStyle name="40% - Accent3 3 4" xfId="1788"/>
    <cellStyle name="40% - Accent3 30" xfId="3458"/>
    <cellStyle name="40% - Accent3 31" xfId="3459"/>
    <cellStyle name="40% - Accent3 32" xfId="3460"/>
    <cellStyle name="40% - Accent3 33" xfId="3461"/>
    <cellStyle name="40% - Accent3 34" xfId="3462"/>
    <cellStyle name="40% - Accent3 35" xfId="3463"/>
    <cellStyle name="40% - Accent3 36" xfId="3464"/>
    <cellStyle name="40% - Accent3 37" xfId="3465"/>
    <cellStyle name="40% - Accent3 38" xfId="3466"/>
    <cellStyle name="40% - Accent3 39" xfId="3467"/>
    <cellStyle name="40% - Accent3 4" xfId="1789"/>
    <cellStyle name="40% - Accent3 4 2" xfId="1790"/>
    <cellStyle name="40% - Accent3 4 3" xfId="3468"/>
    <cellStyle name="40% - Accent3 40" xfId="3469"/>
    <cellStyle name="40% - Accent3 41" xfId="3470"/>
    <cellStyle name="40% - Accent3 42" xfId="3471"/>
    <cellStyle name="40% - Accent3 43" xfId="3472"/>
    <cellStyle name="40% - Accent3 44" xfId="3473"/>
    <cellStyle name="40% - Accent3 45" xfId="3474"/>
    <cellStyle name="40% - Accent3 46" xfId="3475"/>
    <cellStyle name="40% - Accent3 47" xfId="3476"/>
    <cellStyle name="40% - Accent3 48" xfId="250"/>
    <cellStyle name="40% - Accent3 49" xfId="4231"/>
    <cellStyle name="40% - Accent3 5" xfId="1791"/>
    <cellStyle name="40% - Accent3 5 2" xfId="1792"/>
    <cellStyle name="40% - Accent3 5 3" xfId="3477"/>
    <cellStyle name="40% - Accent3 6" xfId="1793"/>
    <cellStyle name="40% - Accent3 7" xfId="1794"/>
    <cellStyle name="40% - Accent3 8" xfId="1795"/>
    <cellStyle name="40% - Accent3 9" xfId="1796"/>
    <cellStyle name="40% - Accent4 10" xfId="1797"/>
    <cellStyle name="40% - Accent4 11" xfId="1798"/>
    <cellStyle name="40% - Accent4 12" xfId="1799"/>
    <cellStyle name="40% - Accent4 13" xfId="1800"/>
    <cellStyle name="40% - Accent4 14" xfId="3478"/>
    <cellStyle name="40% - Accent4 15" xfId="3479"/>
    <cellStyle name="40% - Accent4 16" xfId="3480"/>
    <cellStyle name="40% - Accent4 17" xfId="3481"/>
    <cellStyle name="40% - Accent4 18" xfId="3482"/>
    <cellStyle name="40% - Accent4 19" xfId="3483"/>
    <cellStyle name="40% - Accent4 2" xfId="1801"/>
    <cellStyle name="40% - Accent4 2 2" xfId="1802"/>
    <cellStyle name="40% - Accent4 2 2 2" xfId="1803"/>
    <cellStyle name="40% - Accent4 2 3" xfId="1804"/>
    <cellStyle name="40% - Accent4 2 3 2" xfId="1805"/>
    <cellStyle name="40% - Accent4 2 4" xfId="1806"/>
    <cellStyle name="40% - Accent4 2_MedaSTAT &amp; NPUT FA Roll Forward" xfId="1807"/>
    <cellStyle name="40% - Accent4 20" xfId="3484"/>
    <cellStyle name="40% - Accent4 21" xfId="3485"/>
    <cellStyle name="40% - Accent4 22" xfId="3486"/>
    <cellStyle name="40% - Accent4 23" xfId="3487"/>
    <cellStyle name="40% - Accent4 24" xfId="3488"/>
    <cellStyle name="40% - Accent4 25" xfId="3489"/>
    <cellStyle name="40% - Accent4 26" xfId="3490"/>
    <cellStyle name="40% - Accent4 27" xfId="3491"/>
    <cellStyle name="40% - Accent4 28" xfId="3492"/>
    <cellStyle name="40% - Accent4 29" xfId="3493"/>
    <cellStyle name="40% - Accent4 3" xfId="1808"/>
    <cellStyle name="40% - Accent4 3 2" xfId="1809"/>
    <cellStyle name="40% - Accent4 3 2 2" xfId="1810"/>
    <cellStyle name="40% - Accent4 3 3" xfId="1811"/>
    <cellStyle name="40% - Accent4 3 3 2" xfId="1812"/>
    <cellStyle name="40% - Accent4 3 4" xfId="1813"/>
    <cellStyle name="40% - Accent4 30" xfId="3494"/>
    <cellStyle name="40% - Accent4 31" xfId="3495"/>
    <cellStyle name="40% - Accent4 32" xfId="3496"/>
    <cellStyle name="40% - Accent4 33" xfId="3497"/>
    <cellStyle name="40% - Accent4 34" xfId="3498"/>
    <cellStyle name="40% - Accent4 35" xfId="3499"/>
    <cellStyle name="40% - Accent4 36" xfId="3500"/>
    <cellStyle name="40% - Accent4 37" xfId="3501"/>
    <cellStyle name="40% - Accent4 38" xfId="3502"/>
    <cellStyle name="40% - Accent4 39" xfId="3503"/>
    <cellStyle name="40% - Accent4 4" xfId="1814"/>
    <cellStyle name="40% - Accent4 4 2" xfId="1815"/>
    <cellStyle name="40% - Accent4 4 3" xfId="3504"/>
    <cellStyle name="40% - Accent4 40" xfId="3505"/>
    <cellStyle name="40% - Accent4 41" xfId="3506"/>
    <cellStyle name="40% - Accent4 42" xfId="3507"/>
    <cellStyle name="40% - Accent4 43" xfId="3508"/>
    <cellStyle name="40% - Accent4 44" xfId="3509"/>
    <cellStyle name="40% - Accent4 45" xfId="3510"/>
    <cellStyle name="40% - Accent4 46" xfId="3511"/>
    <cellStyle name="40% - Accent4 47" xfId="3512"/>
    <cellStyle name="40% - Accent4 48" xfId="251"/>
    <cellStyle name="40% - Accent4 49" xfId="4232"/>
    <cellStyle name="40% - Accent4 5" xfId="1816"/>
    <cellStyle name="40% - Accent4 5 2" xfId="1817"/>
    <cellStyle name="40% - Accent4 5 3" xfId="3513"/>
    <cellStyle name="40% - Accent4 6" xfId="1818"/>
    <cellStyle name="40% - Accent4 7" xfId="1819"/>
    <cellStyle name="40% - Accent4 8" xfId="1820"/>
    <cellStyle name="40% - Accent4 9" xfId="1821"/>
    <cellStyle name="40% - Accent5 10" xfId="1822"/>
    <cellStyle name="40% - Accent5 11" xfId="1823"/>
    <cellStyle name="40% - Accent5 12" xfId="1824"/>
    <cellStyle name="40% - Accent5 13" xfId="1825"/>
    <cellStyle name="40% - Accent5 14" xfId="3514"/>
    <cellStyle name="40% - Accent5 15" xfId="3515"/>
    <cellStyle name="40% - Accent5 16" xfId="3516"/>
    <cellStyle name="40% - Accent5 17" xfId="3517"/>
    <cellStyle name="40% - Accent5 18" xfId="3518"/>
    <cellStyle name="40% - Accent5 19" xfId="3519"/>
    <cellStyle name="40% - Accent5 2" xfId="1826"/>
    <cellStyle name="40% - Accent5 2 2" xfId="1827"/>
    <cellStyle name="40% - Accent5 2 2 2" xfId="1828"/>
    <cellStyle name="40% - Accent5 2 3" xfId="1829"/>
    <cellStyle name="40% - Accent5 2 3 2" xfId="1830"/>
    <cellStyle name="40% - Accent5 2 4" xfId="1831"/>
    <cellStyle name="40% - Accent5 2_MedaSTAT &amp; NPUT FA Roll Forward" xfId="1832"/>
    <cellStyle name="40% - Accent5 20" xfId="3520"/>
    <cellStyle name="40% - Accent5 21" xfId="3521"/>
    <cellStyle name="40% - Accent5 22" xfId="3522"/>
    <cellStyle name="40% - Accent5 23" xfId="3523"/>
    <cellStyle name="40% - Accent5 24" xfId="3524"/>
    <cellStyle name="40% - Accent5 25" xfId="3525"/>
    <cellStyle name="40% - Accent5 26" xfId="3526"/>
    <cellStyle name="40% - Accent5 27" xfId="3527"/>
    <cellStyle name="40% - Accent5 28" xfId="3528"/>
    <cellStyle name="40% - Accent5 29" xfId="3529"/>
    <cellStyle name="40% - Accent5 3" xfId="1833"/>
    <cellStyle name="40% - Accent5 3 2" xfId="1834"/>
    <cellStyle name="40% - Accent5 3 2 2" xfId="1835"/>
    <cellStyle name="40% - Accent5 3 3" xfId="1836"/>
    <cellStyle name="40% - Accent5 3 3 2" xfId="1837"/>
    <cellStyle name="40% - Accent5 3 4" xfId="1838"/>
    <cellStyle name="40% - Accent5 30" xfId="3530"/>
    <cellStyle name="40% - Accent5 31" xfId="3531"/>
    <cellStyle name="40% - Accent5 32" xfId="3532"/>
    <cellStyle name="40% - Accent5 33" xfId="3533"/>
    <cellStyle name="40% - Accent5 34" xfId="3534"/>
    <cellStyle name="40% - Accent5 35" xfId="3535"/>
    <cellStyle name="40% - Accent5 36" xfId="3536"/>
    <cellStyle name="40% - Accent5 37" xfId="3537"/>
    <cellStyle name="40% - Accent5 38" xfId="3538"/>
    <cellStyle name="40% - Accent5 39" xfId="3539"/>
    <cellStyle name="40% - Accent5 4" xfId="1839"/>
    <cellStyle name="40% - Accent5 4 2" xfId="1840"/>
    <cellStyle name="40% - Accent5 4 3" xfId="3540"/>
    <cellStyle name="40% - Accent5 40" xfId="3541"/>
    <cellStyle name="40% - Accent5 41" xfId="3542"/>
    <cellStyle name="40% - Accent5 42" xfId="3543"/>
    <cellStyle name="40% - Accent5 43" xfId="3544"/>
    <cellStyle name="40% - Accent5 44" xfId="3545"/>
    <cellStyle name="40% - Accent5 45" xfId="3546"/>
    <cellStyle name="40% - Accent5 46" xfId="3547"/>
    <cellStyle name="40% - Accent5 47" xfId="3548"/>
    <cellStyle name="40% - Accent5 48" xfId="252"/>
    <cellStyle name="40% - Accent5 49" xfId="4233"/>
    <cellStyle name="40% - Accent5 5" xfId="1841"/>
    <cellStyle name="40% - Accent5 5 2" xfId="1842"/>
    <cellStyle name="40% - Accent5 5 3" xfId="3549"/>
    <cellStyle name="40% - Accent5 6" xfId="1843"/>
    <cellStyle name="40% - Accent5 7" xfId="1844"/>
    <cellStyle name="40% - Accent5 8" xfId="1845"/>
    <cellStyle name="40% - Accent5 9" xfId="1846"/>
    <cellStyle name="40% - Accent6 10" xfId="1847"/>
    <cellStyle name="40% - Accent6 11" xfId="1848"/>
    <cellStyle name="40% - Accent6 12" xfId="1849"/>
    <cellStyle name="40% - Accent6 13" xfId="1850"/>
    <cellStyle name="40% - Accent6 14" xfId="3550"/>
    <cellStyle name="40% - Accent6 15" xfId="3551"/>
    <cellStyle name="40% - Accent6 16" xfId="3552"/>
    <cellStyle name="40% - Accent6 17" xfId="3553"/>
    <cellStyle name="40% - Accent6 18" xfId="3554"/>
    <cellStyle name="40% - Accent6 19" xfId="3555"/>
    <cellStyle name="40% - Accent6 2" xfId="1851"/>
    <cellStyle name="40% - Accent6 2 2" xfId="1852"/>
    <cellStyle name="40% - Accent6 2 2 2" xfId="1853"/>
    <cellStyle name="40% - Accent6 2 3" xfId="1854"/>
    <cellStyle name="40% - Accent6 2 3 2" xfId="1855"/>
    <cellStyle name="40% - Accent6 2 4" xfId="1856"/>
    <cellStyle name="40% - Accent6 2_MedaSTAT &amp; NPUT FA Roll Forward" xfId="1857"/>
    <cellStyle name="40% - Accent6 20" xfId="3556"/>
    <cellStyle name="40% - Accent6 21" xfId="3557"/>
    <cellStyle name="40% - Accent6 22" xfId="3558"/>
    <cellStyle name="40% - Accent6 23" xfId="3559"/>
    <cellStyle name="40% - Accent6 24" xfId="3560"/>
    <cellStyle name="40% - Accent6 25" xfId="3561"/>
    <cellStyle name="40% - Accent6 26" xfId="3562"/>
    <cellStyle name="40% - Accent6 27" xfId="3563"/>
    <cellStyle name="40% - Accent6 28" xfId="3564"/>
    <cellStyle name="40% - Accent6 29" xfId="3565"/>
    <cellStyle name="40% - Accent6 3" xfId="1858"/>
    <cellStyle name="40% - Accent6 3 2" xfId="1859"/>
    <cellStyle name="40% - Accent6 3 2 2" xfId="1860"/>
    <cellStyle name="40% - Accent6 3 3" xfId="1861"/>
    <cellStyle name="40% - Accent6 3 3 2" xfId="1862"/>
    <cellStyle name="40% - Accent6 3 4" xfId="1863"/>
    <cellStyle name="40% - Accent6 30" xfId="3566"/>
    <cellStyle name="40% - Accent6 31" xfId="3567"/>
    <cellStyle name="40% - Accent6 32" xfId="3568"/>
    <cellStyle name="40% - Accent6 33" xfId="3569"/>
    <cellStyle name="40% - Accent6 34" xfId="3570"/>
    <cellStyle name="40% - Accent6 35" xfId="3571"/>
    <cellStyle name="40% - Accent6 36" xfId="3572"/>
    <cellStyle name="40% - Accent6 37" xfId="3573"/>
    <cellStyle name="40% - Accent6 38" xfId="3574"/>
    <cellStyle name="40% - Accent6 39" xfId="3575"/>
    <cellStyle name="40% - Accent6 4" xfId="1864"/>
    <cellStyle name="40% - Accent6 4 2" xfId="1865"/>
    <cellStyle name="40% - Accent6 4 3" xfId="3576"/>
    <cellStyle name="40% - Accent6 40" xfId="3577"/>
    <cellStyle name="40% - Accent6 41" xfId="3578"/>
    <cellStyle name="40% - Accent6 42" xfId="3579"/>
    <cellStyle name="40% - Accent6 43" xfId="3580"/>
    <cellStyle name="40% - Accent6 44" xfId="3581"/>
    <cellStyle name="40% - Accent6 45" xfId="3582"/>
    <cellStyle name="40% - Accent6 46" xfId="3583"/>
    <cellStyle name="40% - Accent6 47" xfId="3584"/>
    <cellStyle name="40% - Accent6 48" xfId="253"/>
    <cellStyle name="40% - Accent6 49" xfId="4234"/>
    <cellStyle name="40% - Accent6 5" xfId="1866"/>
    <cellStyle name="40% - Accent6 5 2" xfId="1867"/>
    <cellStyle name="40% - Accent6 5 3" xfId="3585"/>
    <cellStyle name="40% - Accent6 6" xfId="1868"/>
    <cellStyle name="40% - Accent6 7" xfId="1869"/>
    <cellStyle name="40% - Accent6 8" xfId="1870"/>
    <cellStyle name="40% - Accent6 9" xfId="1871"/>
    <cellStyle name="40% - Ênfase1" xfId="3586"/>
    <cellStyle name="40% - Ênfase2" xfId="3587"/>
    <cellStyle name="40% - Ênfase3" xfId="3588"/>
    <cellStyle name="40% - Ênfase4" xfId="3589"/>
    <cellStyle name="40% - Ênfase5" xfId="3590"/>
    <cellStyle name="40% - Ênfase6" xfId="3591"/>
    <cellStyle name="40% - Énfasis1 10" xfId="3592"/>
    <cellStyle name="40% - Énfasis1 10 2" xfId="3593"/>
    <cellStyle name="40% - Énfasis1 11" xfId="3594"/>
    <cellStyle name="40% - Énfasis1 11 2" xfId="3595"/>
    <cellStyle name="40% - Énfasis1 12" xfId="3596"/>
    <cellStyle name="40% - Énfasis1 12 2" xfId="3597"/>
    <cellStyle name="40% - Énfasis1 13" xfId="3598"/>
    <cellStyle name="40% - Énfasis1 13 2" xfId="3599"/>
    <cellStyle name="40% - Énfasis1 14" xfId="3600"/>
    <cellStyle name="40% - Énfasis1 14 2" xfId="3601"/>
    <cellStyle name="40% - Énfasis1 15" xfId="3602"/>
    <cellStyle name="40% - Énfasis1 15 2" xfId="3603"/>
    <cellStyle name="40% - Énfasis1 16" xfId="3604"/>
    <cellStyle name="40% - Énfasis1 16 2" xfId="3605"/>
    <cellStyle name="40% - Énfasis1 17" xfId="3606"/>
    <cellStyle name="40% - Énfasis1 17 2" xfId="3607"/>
    <cellStyle name="40% - Énfasis1 18" xfId="3608"/>
    <cellStyle name="40% - Énfasis1 18 2" xfId="3609"/>
    <cellStyle name="40% - Énfasis1 19" xfId="3610"/>
    <cellStyle name="40% - Énfasis1 19 2" xfId="3611"/>
    <cellStyle name="40% - Énfasis1 2" xfId="3612"/>
    <cellStyle name="40% - Énfasis1 2 2" xfId="3613"/>
    <cellStyle name="40% - Énfasis1 20" xfId="3614"/>
    <cellStyle name="40% - Énfasis1 20 2" xfId="3615"/>
    <cellStyle name="40% - Énfasis1 21" xfId="3616"/>
    <cellStyle name="40% - Énfasis1 21 2" xfId="3617"/>
    <cellStyle name="40% - Énfasis1 22" xfId="3618"/>
    <cellStyle name="40% - Énfasis1 22 2" xfId="3619"/>
    <cellStyle name="40% - Énfasis1 23" xfId="3620"/>
    <cellStyle name="40% - Énfasis1 23 2" xfId="3621"/>
    <cellStyle name="40% - Énfasis1 24" xfId="3622"/>
    <cellStyle name="40% - Énfasis1 24 2" xfId="3623"/>
    <cellStyle name="40% - Énfasis1 25" xfId="3624"/>
    <cellStyle name="40% - Énfasis1 25 2" xfId="3625"/>
    <cellStyle name="40% - Énfasis1 26" xfId="3626"/>
    <cellStyle name="40% - Énfasis1 26 2" xfId="3627"/>
    <cellStyle name="40% - Énfasis1 27" xfId="3628"/>
    <cellStyle name="40% - Énfasis1 27 2" xfId="3629"/>
    <cellStyle name="40% - Énfasis1 28" xfId="3630"/>
    <cellStyle name="40% - Énfasis1 28 2" xfId="3631"/>
    <cellStyle name="40% - Énfasis1 29" xfId="3632"/>
    <cellStyle name="40% - Énfasis1 29 2" xfId="3633"/>
    <cellStyle name="40% - Énfasis1 3" xfId="3634"/>
    <cellStyle name="40% - Énfasis1 3 2" xfId="3635"/>
    <cellStyle name="40% - Énfasis1 30" xfId="3636"/>
    <cellStyle name="40% - Énfasis1 30 2" xfId="3637"/>
    <cellStyle name="40% - Énfasis1 31" xfId="3638"/>
    <cellStyle name="40% - Énfasis1 31 2" xfId="3639"/>
    <cellStyle name="40% - Énfasis1 32" xfId="3640"/>
    <cellStyle name="40% - Énfasis1 32 2" xfId="3641"/>
    <cellStyle name="40% - Énfasis1 33" xfId="3642"/>
    <cellStyle name="40% - Énfasis1 33 2" xfId="3643"/>
    <cellStyle name="40% - Énfasis1 34" xfId="3644"/>
    <cellStyle name="40% - Énfasis1 34 2" xfId="3645"/>
    <cellStyle name="40% - Énfasis1 35" xfId="3646"/>
    <cellStyle name="40% - Énfasis1 35 2" xfId="3647"/>
    <cellStyle name="40% - Énfasis1 36" xfId="3648"/>
    <cellStyle name="40% - Énfasis1 36 2" xfId="3649"/>
    <cellStyle name="40% - Énfasis1 37" xfId="3650"/>
    <cellStyle name="40% - Énfasis1 37 2" xfId="3651"/>
    <cellStyle name="40% - Énfasis1 38" xfId="3652"/>
    <cellStyle name="40% - Énfasis1 38 2" xfId="3653"/>
    <cellStyle name="40% - Énfasis1 39" xfId="3654"/>
    <cellStyle name="40% - Énfasis1 39 2" xfId="3655"/>
    <cellStyle name="40% - Énfasis1 4" xfId="3656"/>
    <cellStyle name="40% - Énfasis1 4 2" xfId="3657"/>
    <cellStyle name="40% - Énfasis1 40" xfId="3658"/>
    <cellStyle name="40% - Énfasis1 40 2" xfId="3659"/>
    <cellStyle name="40% - Énfasis1 41" xfId="3660"/>
    <cellStyle name="40% - Énfasis1 41 2" xfId="3661"/>
    <cellStyle name="40% - Énfasis1 42" xfId="3662"/>
    <cellStyle name="40% - Énfasis1 5" xfId="3663"/>
    <cellStyle name="40% - Énfasis1 5 2" xfId="3664"/>
    <cellStyle name="40% - Énfasis1 6" xfId="3665"/>
    <cellStyle name="40% - Énfasis1 6 2" xfId="3666"/>
    <cellStyle name="40% - Énfasis1 7" xfId="3667"/>
    <cellStyle name="40% - Énfasis1 7 2" xfId="3668"/>
    <cellStyle name="40% - Énfasis1 8" xfId="3669"/>
    <cellStyle name="40% - Énfasis1 8 2" xfId="3670"/>
    <cellStyle name="40% - Énfasis1 9" xfId="3671"/>
    <cellStyle name="40% - Énfasis1 9 2" xfId="3672"/>
    <cellStyle name="40% - Énfasis1_Bases Formato 1" xfId="3673"/>
    <cellStyle name="40% - Énfasis2 10" xfId="3674"/>
    <cellStyle name="40% - Énfasis2 10 2" xfId="3675"/>
    <cellStyle name="40% - Énfasis2 11" xfId="3676"/>
    <cellStyle name="40% - Énfasis2 11 2" xfId="3677"/>
    <cellStyle name="40% - Énfasis2 12" xfId="3678"/>
    <cellStyle name="40% - Énfasis2 12 2" xfId="3679"/>
    <cellStyle name="40% - Énfasis2 13" xfId="3680"/>
    <cellStyle name="40% - Énfasis2 13 2" xfId="3681"/>
    <cellStyle name="40% - Énfasis2 14" xfId="3682"/>
    <cellStyle name="40% - Énfasis2 14 2" xfId="3683"/>
    <cellStyle name="40% - Énfasis2 15" xfId="3684"/>
    <cellStyle name="40% - Énfasis2 15 2" xfId="3685"/>
    <cellStyle name="40% - Énfasis2 16" xfId="3686"/>
    <cellStyle name="40% - Énfasis2 16 2" xfId="3687"/>
    <cellStyle name="40% - Énfasis2 17" xfId="3688"/>
    <cellStyle name="40% - Énfasis2 17 2" xfId="3689"/>
    <cellStyle name="40% - Énfasis2 18" xfId="3690"/>
    <cellStyle name="40% - Énfasis2 18 2" xfId="3691"/>
    <cellStyle name="40% - Énfasis2 19" xfId="3692"/>
    <cellStyle name="40% - Énfasis2 19 2" xfId="3693"/>
    <cellStyle name="40% - Énfasis2 2" xfId="3694"/>
    <cellStyle name="40% - Énfasis2 2 2" xfId="3695"/>
    <cellStyle name="40% - Énfasis2 20" xfId="3696"/>
    <cellStyle name="40% - Énfasis2 20 2" xfId="3697"/>
    <cellStyle name="40% - Énfasis2 21" xfId="3698"/>
    <cellStyle name="40% - Énfasis2 21 2" xfId="3699"/>
    <cellStyle name="40% - Énfasis2 22" xfId="3700"/>
    <cellStyle name="40% - Énfasis2 22 2" xfId="3701"/>
    <cellStyle name="40% - Énfasis2 23" xfId="3702"/>
    <cellStyle name="40% - Énfasis2 23 2" xfId="3703"/>
    <cellStyle name="40% - Énfasis2 24" xfId="3704"/>
    <cellStyle name="40% - Énfasis2 24 2" xfId="3705"/>
    <cellStyle name="40% - Énfasis2 25" xfId="3706"/>
    <cellStyle name="40% - Énfasis2 25 2" xfId="3707"/>
    <cellStyle name="40% - Énfasis2 26" xfId="3708"/>
    <cellStyle name="40% - Énfasis2 26 2" xfId="3709"/>
    <cellStyle name="40% - Énfasis2 27" xfId="3710"/>
    <cellStyle name="40% - Énfasis2 27 2" xfId="3711"/>
    <cellStyle name="40% - Énfasis2 28" xfId="3712"/>
    <cellStyle name="40% - Énfasis2 28 2" xfId="3713"/>
    <cellStyle name="40% - Énfasis2 29" xfId="3714"/>
    <cellStyle name="40% - Énfasis2 29 2" xfId="3715"/>
    <cellStyle name="40% - Énfasis2 3" xfId="3716"/>
    <cellStyle name="40% - Énfasis2 3 2" xfId="3717"/>
    <cellStyle name="40% - Énfasis2 30" xfId="3718"/>
    <cellStyle name="40% - Énfasis2 30 2" xfId="3719"/>
    <cellStyle name="40% - Énfasis2 31" xfId="3720"/>
    <cellStyle name="40% - Énfasis2 31 2" xfId="3721"/>
    <cellStyle name="40% - Énfasis2 32" xfId="3722"/>
    <cellStyle name="40% - Énfasis2 32 2" xfId="3723"/>
    <cellStyle name="40% - Énfasis2 33" xfId="3724"/>
    <cellStyle name="40% - Énfasis2 33 2" xfId="3725"/>
    <cellStyle name="40% - Énfasis2 34" xfId="3726"/>
    <cellStyle name="40% - Énfasis2 34 2" xfId="3727"/>
    <cellStyle name="40% - Énfasis2 35" xfId="3728"/>
    <cellStyle name="40% - Énfasis2 35 2" xfId="3729"/>
    <cellStyle name="40% - Énfasis2 36" xfId="3730"/>
    <cellStyle name="40% - Énfasis2 36 2" xfId="3731"/>
    <cellStyle name="40% - Énfasis2 37" xfId="3732"/>
    <cellStyle name="40% - Énfasis2 37 2" xfId="3733"/>
    <cellStyle name="40% - Énfasis2 38" xfId="3734"/>
    <cellStyle name="40% - Énfasis2 38 2" xfId="3735"/>
    <cellStyle name="40% - Énfasis2 39" xfId="3736"/>
    <cellStyle name="40% - Énfasis2 39 2" xfId="3737"/>
    <cellStyle name="40% - Énfasis2 4" xfId="3738"/>
    <cellStyle name="40% - Énfasis2 4 2" xfId="3739"/>
    <cellStyle name="40% - Énfasis2 40" xfId="3740"/>
    <cellStyle name="40% - Énfasis2 40 2" xfId="3741"/>
    <cellStyle name="40% - Énfasis2 41" xfId="3742"/>
    <cellStyle name="40% - Énfasis2 41 2" xfId="3743"/>
    <cellStyle name="40% - Énfasis2 42" xfId="3744"/>
    <cellStyle name="40% - Énfasis2 5" xfId="3745"/>
    <cellStyle name="40% - Énfasis2 5 2" xfId="3746"/>
    <cellStyle name="40% - Énfasis2 6" xfId="3747"/>
    <cellStyle name="40% - Énfasis2 6 2" xfId="3748"/>
    <cellStyle name="40% - Énfasis2 7" xfId="3749"/>
    <cellStyle name="40% - Énfasis2 7 2" xfId="3750"/>
    <cellStyle name="40% - Énfasis2 8" xfId="3751"/>
    <cellStyle name="40% - Énfasis2 8 2" xfId="3752"/>
    <cellStyle name="40% - Énfasis2 9" xfId="3753"/>
    <cellStyle name="40% - Énfasis2 9 2" xfId="3754"/>
    <cellStyle name="40% - Énfasis2_Bases Formato 1" xfId="3755"/>
    <cellStyle name="40% - Énfasis3 10" xfId="3756"/>
    <cellStyle name="40% - Énfasis3 10 2" xfId="3757"/>
    <cellStyle name="40% - Énfasis3 11" xfId="3758"/>
    <cellStyle name="40% - Énfasis3 11 2" xfId="3759"/>
    <cellStyle name="40% - Énfasis3 12" xfId="3760"/>
    <cellStyle name="40% - Énfasis3 12 2" xfId="3761"/>
    <cellStyle name="40% - Énfasis3 13" xfId="3762"/>
    <cellStyle name="40% - Énfasis3 13 2" xfId="3763"/>
    <cellStyle name="40% - Énfasis3 14" xfId="3764"/>
    <cellStyle name="40% - Énfasis3 14 2" xfId="3765"/>
    <cellStyle name="40% - Énfasis3 15" xfId="3766"/>
    <cellStyle name="40% - Énfasis3 15 2" xfId="3767"/>
    <cellStyle name="40% - Énfasis3 16" xfId="3768"/>
    <cellStyle name="40% - Énfasis3 16 2" xfId="3769"/>
    <cellStyle name="40% - Énfasis3 17" xfId="3770"/>
    <cellStyle name="40% - Énfasis3 17 2" xfId="3771"/>
    <cellStyle name="40% - Énfasis3 18" xfId="3772"/>
    <cellStyle name="40% - Énfasis3 18 2" xfId="3773"/>
    <cellStyle name="40% - Énfasis3 19" xfId="3774"/>
    <cellStyle name="40% - Énfasis3 19 2" xfId="3775"/>
    <cellStyle name="40% - Énfasis3 2" xfId="3776"/>
    <cellStyle name="40% - Énfasis3 2 2" xfId="3777"/>
    <cellStyle name="40% - Énfasis3 20" xfId="3778"/>
    <cellStyle name="40% - Énfasis3 20 2" xfId="3779"/>
    <cellStyle name="40% - Énfasis3 21" xfId="3780"/>
    <cellStyle name="40% - Énfasis3 21 2" xfId="3781"/>
    <cellStyle name="40% - Énfasis3 22" xfId="3782"/>
    <cellStyle name="40% - Énfasis3 22 2" xfId="3783"/>
    <cellStyle name="40% - Énfasis3 23" xfId="3784"/>
    <cellStyle name="40% - Énfasis3 23 2" xfId="3785"/>
    <cellStyle name="40% - Énfasis3 24" xfId="3786"/>
    <cellStyle name="40% - Énfasis3 24 2" xfId="3787"/>
    <cellStyle name="40% - Énfasis3 25" xfId="3788"/>
    <cellStyle name="40% - Énfasis3 25 2" xfId="3789"/>
    <cellStyle name="40% - Énfasis3 26" xfId="3790"/>
    <cellStyle name="40% - Énfasis3 26 2" xfId="3791"/>
    <cellStyle name="40% - Énfasis3 27" xfId="3792"/>
    <cellStyle name="40% - Énfasis3 27 2" xfId="3793"/>
    <cellStyle name="40% - Énfasis3 28" xfId="3794"/>
    <cellStyle name="40% - Énfasis3 28 2" xfId="3795"/>
    <cellStyle name="40% - Énfasis3 29" xfId="3796"/>
    <cellStyle name="40% - Énfasis3 29 2" xfId="3797"/>
    <cellStyle name="40% - Énfasis3 3" xfId="3798"/>
    <cellStyle name="40% - Énfasis3 3 2" xfId="3799"/>
    <cellStyle name="40% - Énfasis3 30" xfId="3800"/>
    <cellStyle name="40% - Énfasis3 30 2" xfId="3801"/>
    <cellStyle name="40% - Énfasis3 31" xfId="3802"/>
    <cellStyle name="40% - Énfasis3 31 2" xfId="3803"/>
    <cellStyle name="40% - Énfasis3 32" xfId="3804"/>
    <cellStyle name="40% - Énfasis3 32 2" xfId="3805"/>
    <cellStyle name="40% - Énfasis3 33" xfId="3806"/>
    <cellStyle name="40% - Énfasis3 33 2" xfId="3807"/>
    <cellStyle name="40% - Énfasis3 34" xfId="3808"/>
    <cellStyle name="40% - Énfasis3 34 2" xfId="3809"/>
    <cellStyle name="40% - Énfasis3 35" xfId="3810"/>
    <cellStyle name="40% - Énfasis3 35 2" xfId="3811"/>
    <cellStyle name="40% - Énfasis3 36" xfId="3812"/>
    <cellStyle name="40% - Énfasis3 36 2" xfId="3813"/>
    <cellStyle name="40% - Énfasis3 37" xfId="3814"/>
    <cellStyle name="40% - Énfasis3 37 2" xfId="3815"/>
    <cellStyle name="40% - Énfasis3 38" xfId="3816"/>
    <cellStyle name="40% - Énfasis3 38 2" xfId="3817"/>
    <cellStyle name="40% - Énfasis3 39" xfId="3818"/>
    <cellStyle name="40% - Énfasis3 39 2" xfId="3819"/>
    <cellStyle name="40% - Énfasis3 4" xfId="3820"/>
    <cellStyle name="40% - Énfasis3 4 2" xfId="3821"/>
    <cellStyle name="40% - Énfasis3 40" xfId="3822"/>
    <cellStyle name="40% - Énfasis3 40 2" xfId="3823"/>
    <cellStyle name="40% - Énfasis3 41" xfId="3824"/>
    <cellStyle name="40% - Énfasis3 41 2" xfId="3825"/>
    <cellStyle name="40% - Énfasis3 42" xfId="3826"/>
    <cellStyle name="40% - Énfasis3 5" xfId="3827"/>
    <cellStyle name="40% - Énfasis3 5 2" xfId="3828"/>
    <cellStyle name="40% - Énfasis3 6" xfId="3829"/>
    <cellStyle name="40% - Énfasis3 6 2" xfId="3830"/>
    <cellStyle name="40% - Énfasis3 7" xfId="3831"/>
    <cellStyle name="40% - Énfasis3 7 2" xfId="3832"/>
    <cellStyle name="40% - Énfasis3 8" xfId="3833"/>
    <cellStyle name="40% - Énfasis3 8 2" xfId="3834"/>
    <cellStyle name="40% - Énfasis3 9" xfId="3835"/>
    <cellStyle name="40% - Énfasis3 9 2" xfId="3836"/>
    <cellStyle name="40% - Énfasis3_Bases Formato 1" xfId="3837"/>
    <cellStyle name="40% - Énfasis4 10" xfId="3838"/>
    <cellStyle name="40% - Énfasis4 10 2" xfId="3839"/>
    <cellStyle name="40% - Énfasis4 11" xfId="3840"/>
    <cellStyle name="40% - Énfasis4 11 2" xfId="3841"/>
    <cellStyle name="40% - Énfasis4 12" xfId="3842"/>
    <cellStyle name="40% - Énfasis4 12 2" xfId="3843"/>
    <cellStyle name="40% - Énfasis4 13" xfId="3844"/>
    <cellStyle name="40% - Énfasis4 13 2" xfId="3845"/>
    <cellStyle name="40% - Énfasis4 14" xfId="3846"/>
    <cellStyle name="40% - Énfasis4 14 2" xfId="3847"/>
    <cellStyle name="40% - Énfasis4 15" xfId="3848"/>
    <cellStyle name="40% - Énfasis4 15 2" xfId="3849"/>
    <cellStyle name="40% - Énfasis4 16" xfId="3850"/>
    <cellStyle name="40% - Énfasis4 16 2" xfId="3851"/>
    <cellStyle name="40% - Énfasis4 17" xfId="3852"/>
    <cellStyle name="40% - Énfasis4 17 2" xfId="3853"/>
    <cellStyle name="40% - Énfasis4 18" xfId="3854"/>
    <cellStyle name="40% - Énfasis4 18 2" xfId="3855"/>
    <cellStyle name="40% - Énfasis4 19" xfId="3856"/>
    <cellStyle name="40% - Énfasis4 19 2" xfId="3857"/>
    <cellStyle name="40% - Énfasis4 2" xfId="3858"/>
    <cellStyle name="40% - Énfasis4 2 2" xfId="3859"/>
    <cellStyle name="40% - Énfasis4 20" xfId="3860"/>
    <cellStyle name="40% - Énfasis4 20 2" xfId="3861"/>
    <cellStyle name="40% - Énfasis4 21" xfId="3862"/>
    <cellStyle name="40% - Énfasis4 21 2" xfId="3863"/>
    <cellStyle name="40% - Énfasis4 22" xfId="3864"/>
    <cellStyle name="40% - Énfasis4 22 2" xfId="3865"/>
    <cellStyle name="40% - Énfasis4 23" xfId="3866"/>
    <cellStyle name="40% - Énfasis4 23 2" xfId="3867"/>
    <cellStyle name="40% - Énfasis4 24" xfId="3868"/>
    <cellStyle name="40% - Énfasis4 24 2" xfId="3869"/>
    <cellStyle name="40% - Énfasis4 25" xfId="3870"/>
    <cellStyle name="40% - Énfasis4 25 2" xfId="3871"/>
    <cellStyle name="40% - Énfasis4 26" xfId="3872"/>
    <cellStyle name="40% - Énfasis4 26 2" xfId="3873"/>
    <cellStyle name="40% - Énfasis4 27" xfId="3874"/>
    <cellStyle name="40% - Énfasis4 27 2" xfId="3875"/>
    <cellStyle name="40% - Énfasis4 28" xfId="3876"/>
    <cellStyle name="40% - Énfasis4 28 2" xfId="3877"/>
    <cellStyle name="40% - Énfasis4 29" xfId="3878"/>
    <cellStyle name="40% - Énfasis4 29 2" xfId="3879"/>
    <cellStyle name="40% - Énfasis4 3" xfId="3880"/>
    <cellStyle name="40% - Énfasis4 3 2" xfId="3881"/>
    <cellStyle name="40% - Énfasis4 30" xfId="3882"/>
    <cellStyle name="40% - Énfasis4 30 2" xfId="3883"/>
    <cellStyle name="40% - Énfasis4 31" xfId="3884"/>
    <cellStyle name="40% - Énfasis4 31 2" xfId="3885"/>
    <cellStyle name="40% - Énfasis4 32" xfId="3886"/>
    <cellStyle name="40% - Énfasis4 32 2" xfId="3887"/>
    <cellStyle name="40% - Énfasis4 33" xfId="3888"/>
    <cellStyle name="40% - Énfasis4 33 2" xfId="3889"/>
    <cellStyle name="40% - Énfasis4 34" xfId="3890"/>
    <cellStyle name="40% - Énfasis4 34 2" xfId="3891"/>
    <cellStyle name="40% - Énfasis4 35" xfId="3892"/>
    <cellStyle name="40% - Énfasis4 35 2" xfId="3893"/>
    <cellStyle name="40% - Énfasis4 36" xfId="3894"/>
    <cellStyle name="40% - Énfasis4 36 2" xfId="3895"/>
    <cellStyle name="40% - Énfasis4 37" xfId="3896"/>
    <cellStyle name="40% - Énfasis4 37 2" xfId="3897"/>
    <cellStyle name="40% - Énfasis4 38" xfId="3898"/>
    <cellStyle name="40% - Énfasis4 38 2" xfId="3899"/>
    <cellStyle name="40% - Énfasis4 39" xfId="3900"/>
    <cellStyle name="40% - Énfasis4 39 2" xfId="3901"/>
    <cellStyle name="40% - Énfasis4 4" xfId="3902"/>
    <cellStyle name="40% - Énfasis4 4 2" xfId="3903"/>
    <cellStyle name="40% - Énfasis4 40" xfId="3904"/>
    <cellStyle name="40% - Énfasis4 40 2" xfId="3905"/>
    <cellStyle name="40% - Énfasis4 41" xfId="3906"/>
    <cellStyle name="40% - Énfasis4 41 2" xfId="3907"/>
    <cellStyle name="40% - Énfasis4 42" xfId="3908"/>
    <cellStyle name="40% - Énfasis4 5" xfId="3909"/>
    <cellStyle name="40% - Énfasis4 5 2" xfId="3910"/>
    <cellStyle name="40% - Énfasis4 6" xfId="3911"/>
    <cellStyle name="40% - Énfasis4 6 2" xfId="3912"/>
    <cellStyle name="40% - Énfasis4 7" xfId="3913"/>
    <cellStyle name="40% - Énfasis4 7 2" xfId="3914"/>
    <cellStyle name="40% - Énfasis4 8" xfId="3915"/>
    <cellStyle name="40% - Énfasis4 8 2" xfId="3916"/>
    <cellStyle name="40% - Énfasis4 9" xfId="3917"/>
    <cellStyle name="40% - Énfasis4 9 2" xfId="3918"/>
    <cellStyle name="40% - Énfasis4_Bases Formato 1" xfId="3919"/>
    <cellStyle name="40% - Énfasis5 10" xfId="3920"/>
    <cellStyle name="40% - Énfasis5 10 2" xfId="3921"/>
    <cellStyle name="40% - Énfasis5 11" xfId="3922"/>
    <cellStyle name="40% - Énfasis5 11 2" xfId="3923"/>
    <cellStyle name="40% - Énfasis5 12" xfId="3924"/>
    <cellStyle name="40% - Énfasis5 12 2" xfId="3925"/>
    <cellStyle name="40% - Énfasis5 13" xfId="3926"/>
    <cellStyle name="40% - Énfasis5 13 2" xfId="3927"/>
    <cellStyle name="40% - Énfasis5 14" xfId="3928"/>
    <cellStyle name="40% - Énfasis5 14 2" xfId="3929"/>
    <cellStyle name="40% - Énfasis5 15" xfId="3930"/>
    <cellStyle name="40% - Énfasis5 15 2" xfId="3931"/>
    <cellStyle name="40% - Énfasis5 16" xfId="3932"/>
    <cellStyle name="40% - Énfasis5 16 2" xfId="3933"/>
    <cellStyle name="40% - Énfasis5 17" xfId="3934"/>
    <cellStyle name="40% - Énfasis5 17 2" xfId="3935"/>
    <cellStyle name="40% - Énfasis5 18" xfId="3936"/>
    <cellStyle name="40% - Énfasis5 18 2" xfId="3937"/>
    <cellStyle name="40% - Énfasis5 19" xfId="3938"/>
    <cellStyle name="40% - Énfasis5 19 2" xfId="3939"/>
    <cellStyle name="40% - Énfasis5 2" xfId="3940"/>
    <cellStyle name="40% - Énfasis5 2 2" xfId="3941"/>
    <cellStyle name="40% - Énfasis5 20" xfId="3942"/>
    <cellStyle name="40% - Énfasis5 20 2" xfId="3943"/>
    <cellStyle name="40% - Énfasis5 21" xfId="3944"/>
    <cellStyle name="40% - Énfasis5 21 2" xfId="3945"/>
    <cellStyle name="40% - Énfasis5 22" xfId="3946"/>
    <cellStyle name="40% - Énfasis5 22 2" xfId="3947"/>
    <cellStyle name="40% - Énfasis5 23" xfId="3948"/>
    <cellStyle name="40% - Énfasis5 23 2" xfId="3949"/>
    <cellStyle name="40% - Énfasis5 24" xfId="3950"/>
    <cellStyle name="40% - Énfasis5 24 2" xfId="3951"/>
    <cellStyle name="40% - Énfasis5 25" xfId="3952"/>
    <cellStyle name="40% - Énfasis5 25 2" xfId="3953"/>
    <cellStyle name="40% - Énfasis5 26" xfId="3954"/>
    <cellStyle name="40% - Énfasis5 26 2" xfId="3955"/>
    <cellStyle name="40% - Énfasis5 27" xfId="3956"/>
    <cellStyle name="40% - Énfasis5 27 2" xfId="3957"/>
    <cellStyle name="40% - Énfasis5 28" xfId="3958"/>
    <cellStyle name="40% - Énfasis5 28 2" xfId="3959"/>
    <cellStyle name="40% - Énfasis5 29" xfId="3960"/>
    <cellStyle name="40% - Énfasis5 29 2" xfId="3961"/>
    <cellStyle name="40% - Énfasis5 3" xfId="3962"/>
    <cellStyle name="40% - Énfasis5 3 2" xfId="3963"/>
    <cellStyle name="40% - Énfasis5 30" xfId="3964"/>
    <cellStyle name="40% - Énfasis5 30 2" xfId="3965"/>
    <cellStyle name="40% - Énfasis5 31" xfId="3966"/>
    <cellStyle name="40% - Énfasis5 31 2" xfId="3967"/>
    <cellStyle name="40% - Énfasis5 32" xfId="3968"/>
    <cellStyle name="40% - Énfasis5 32 2" xfId="3969"/>
    <cellStyle name="40% - Énfasis5 33" xfId="3970"/>
    <cellStyle name="40% - Énfasis5 33 2" xfId="3971"/>
    <cellStyle name="40% - Énfasis5 34" xfId="3972"/>
    <cellStyle name="40% - Énfasis5 34 2" xfId="3973"/>
    <cellStyle name="40% - Énfasis5 35" xfId="3974"/>
    <cellStyle name="40% - Énfasis5 35 2" xfId="3975"/>
    <cellStyle name="40% - Énfasis5 36" xfId="3976"/>
    <cellStyle name="40% - Énfasis5 36 2" xfId="3977"/>
    <cellStyle name="40% - Énfasis5 37" xfId="3978"/>
    <cellStyle name="40% - Énfasis5 37 2" xfId="3979"/>
    <cellStyle name="40% - Énfasis5 38" xfId="3980"/>
    <cellStyle name="40% - Énfasis5 38 2" xfId="3981"/>
    <cellStyle name="40% - Énfasis5 39" xfId="3982"/>
    <cellStyle name="40% - Énfasis5 39 2" xfId="3983"/>
    <cellStyle name="40% - Énfasis5 4" xfId="3984"/>
    <cellStyle name="40% - Énfasis5 4 2" xfId="3985"/>
    <cellStyle name="40% - Énfasis5 40" xfId="3986"/>
    <cellStyle name="40% - Énfasis5 40 2" xfId="3987"/>
    <cellStyle name="40% - Énfasis5 41" xfId="3988"/>
    <cellStyle name="40% - Énfasis5 41 2" xfId="3989"/>
    <cellStyle name="40% - Énfasis5 42" xfId="3990"/>
    <cellStyle name="40% - Énfasis5 5" xfId="3991"/>
    <cellStyle name="40% - Énfasis5 5 2" xfId="3992"/>
    <cellStyle name="40% - Énfasis5 6" xfId="3993"/>
    <cellStyle name="40% - Énfasis5 6 2" xfId="3994"/>
    <cellStyle name="40% - Énfasis5 7" xfId="3995"/>
    <cellStyle name="40% - Énfasis5 7 2" xfId="3996"/>
    <cellStyle name="40% - Énfasis5 8" xfId="3997"/>
    <cellStyle name="40% - Énfasis5 8 2" xfId="3998"/>
    <cellStyle name="40% - Énfasis5 9" xfId="3999"/>
    <cellStyle name="40% - Énfasis5 9 2" xfId="4000"/>
    <cellStyle name="40% - Énfasis5_Bases Formato 1" xfId="4001"/>
    <cellStyle name="40% - Énfasis6 10" xfId="4002"/>
    <cellStyle name="40% - Énfasis6 10 2" xfId="4003"/>
    <cellStyle name="40% - Énfasis6 11" xfId="4004"/>
    <cellStyle name="40% - Énfasis6 11 2" xfId="4005"/>
    <cellStyle name="40% - Énfasis6 12" xfId="4006"/>
    <cellStyle name="40% - Énfasis6 12 2" xfId="4007"/>
    <cellStyle name="40% - Énfasis6 13" xfId="4008"/>
    <cellStyle name="40% - Énfasis6 13 2" xfId="4009"/>
    <cellStyle name="40% - Énfasis6 14" xfId="4010"/>
    <cellStyle name="40% - Énfasis6 14 2" xfId="4011"/>
    <cellStyle name="40% - Énfasis6 15" xfId="4012"/>
    <cellStyle name="40% - Énfasis6 15 2" xfId="4013"/>
    <cellStyle name="40% - Énfasis6 16" xfId="4014"/>
    <cellStyle name="40% - Énfasis6 16 2" xfId="4015"/>
    <cellStyle name="40% - Énfasis6 17" xfId="4016"/>
    <cellStyle name="40% - Énfasis6 17 2" xfId="4017"/>
    <cellStyle name="40% - Énfasis6 18" xfId="4018"/>
    <cellStyle name="40% - Énfasis6 18 2" xfId="4019"/>
    <cellStyle name="40% - Énfasis6 19" xfId="4020"/>
    <cellStyle name="40% - Énfasis6 19 2" xfId="4021"/>
    <cellStyle name="40% - Énfasis6 2" xfId="4022"/>
    <cellStyle name="40% - Énfasis6 2 2" xfId="4023"/>
    <cellStyle name="40% - Énfasis6 20" xfId="4024"/>
    <cellStyle name="40% - Énfasis6 20 2" xfId="4025"/>
    <cellStyle name="40% - Énfasis6 21" xfId="4026"/>
    <cellStyle name="40% - Énfasis6 21 2" xfId="4027"/>
    <cellStyle name="40% - Énfasis6 22" xfId="4028"/>
    <cellStyle name="40% - Énfasis6 22 2" xfId="4029"/>
    <cellStyle name="40% - Énfasis6 23" xfId="4030"/>
    <cellStyle name="40% - Énfasis6 23 2" xfId="4031"/>
    <cellStyle name="40% - Énfasis6 24" xfId="4032"/>
    <cellStyle name="40% - Énfasis6 24 2" xfId="4033"/>
    <cellStyle name="40% - Énfasis6 25" xfId="4034"/>
    <cellStyle name="40% - Énfasis6 25 2" xfId="4035"/>
    <cellStyle name="40% - Énfasis6 26" xfId="4036"/>
    <cellStyle name="40% - Énfasis6 26 2" xfId="4037"/>
    <cellStyle name="40% - Énfasis6 27" xfId="4038"/>
    <cellStyle name="40% - Énfasis6 27 2" xfId="4039"/>
    <cellStyle name="40% - Énfasis6 28" xfId="4040"/>
    <cellStyle name="40% - Énfasis6 28 2" xfId="4041"/>
    <cellStyle name="40% - Énfasis6 29" xfId="4042"/>
    <cellStyle name="40% - Énfasis6 29 2" xfId="4043"/>
    <cellStyle name="40% - Énfasis6 3" xfId="4044"/>
    <cellStyle name="40% - Énfasis6 3 2" xfId="4045"/>
    <cellStyle name="40% - Énfasis6 30" xfId="4046"/>
    <cellStyle name="40% - Énfasis6 30 2" xfId="4047"/>
    <cellStyle name="40% - Énfasis6 31" xfId="4048"/>
    <cellStyle name="40% - Énfasis6 31 2" xfId="4049"/>
    <cellStyle name="40% - Énfasis6 32" xfId="4050"/>
    <cellStyle name="40% - Énfasis6 32 2" xfId="4051"/>
    <cellStyle name="40% - Énfasis6 33" xfId="4052"/>
    <cellStyle name="40% - Énfasis6 33 2" xfId="4053"/>
    <cellStyle name="40% - Énfasis6 34" xfId="4054"/>
    <cellStyle name="40% - Énfasis6 34 2" xfId="4055"/>
    <cellStyle name="40% - Énfasis6 35" xfId="4056"/>
    <cellStyle name="40% - Énfasis6 35 2" xfId="4057"/>
    <cellStyle name="40% - Énfasis6 36" xfId="4058"/>
    <cellStyle name="40% - Énfasis6 36 2" xfId="4059"/>
    <cellStyle name="40% - Énfasis6 37" xfId="4060"/>
    <cellStyle name="40% - Énfasis6 37 2" xfId="4061"/>
    <cellStyle name="40% - Énfasis6 38" xfId="4062"/>
    <cellStyle name="40% - Énfasis6 38 2" xfId="4063"/>
    <cellStyle name="40% - Énfasis6 39" xfId="4064"/>
    <cellStyle name="40% - Énfasis6 39 2" xfId="4065"/>
    <cellStyle name="40% - Énfasis6 4" xfId="4066"/>
    <cellStyle name="40% - Énfasis6 4 2" xfId="4067"/>
    <cellStyle name="40% - Énfasis6 40" xfId="4068"/>
    <cellStyle name="40% - Énfasis6 40 2" xfId="4069"/>
    <cellStyle name="40% - Énfasis6 41" xfId="4070"/>
    <cellStyle name="40% - Énfasis6 41 2" xfId="4071"/>
    <cellStyle name="40% - Énfasis6 42" xfId="4072"/>
    <cellStyle name="40% - Énfasis6 5" xfId="4073"/>
    <cellStyle name="40% - Énfasis6 5 2" xfId="4074"/>
    <cellStyle name="40% - Énfasis6 6" xfId="4075"/>
    <cellStyle name="40% - Énfasis6 6 2" xfId="4076"/>
    <cellStyle name="40% - Énfasis6 7" xfId="4077"/>
    <cellStyle name="40% - Énfasis6 7 2" xfId="4078"/>
    <cellStyle name="40% - Énfasis6 8" xfId="4079"/>
    <cellStyle name="40% - Énfasis6 8 2" xfId="4080"/>
    <cellStyle name="40% - Énfasis6 9" xfId="4081"/>
    <cellStyle name="40% - Énfasis6 9 2" xfId="4082"/>
    <cellStyle name="40% - Énfasis6_Bases Formato 1" xfId="4083"/>
    <cellStyle name="40% - 强调文字颜色 1 2" xfId="4084"/>
    <cellStyle name="40% - 强调文字颜色 1 3" xfId="4085"/>
    <cellStyle name="40% - 强调文字颜色 2 2" xfId="4086"/>
    <cellStyle name="40% - 强调文字颜色 2 3" xfId="4087"/>
    <cellStyle name="40% - 强调文字颜色 3 2" xfId="4088"/>
    <cellStyle name="40% - 强调文字颜色 3 3" xfId="4089"/>
    <cellStyle name="40% - 强调文字颜色 4 2" xfId="4090"/>
    <cellStyle name="40% - 强调文字颜色 4 3" xfId="4091"/>
    <cellStyle name="40% - 强调文字颜色 5 2" xfId="4092"/>
    <cellStyle name="40% - 强调文字颜色 5 3" xfId="4093"/>
    <cellStyle name="40% - 强调文字颜色 6 2" xfId="4094"/>
    <cellStyle name="40% - 强调文字颜色 6 3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 2" xfId="1872"/>
    <cellStyle name="60% - Accent1 2 2" xfId="1873"/>
    <cellStyle name="60% - Accent1 3" xfId="254"/>
    <cellStyle name="60% - Accent2 2" xfId="1874"/>
    <cellStyle name="60% - Accent2 2 2" xfId="1875"/>
    <cellStyle name="60% - Accent2 3" xfId="255"/>
    <cellStyle name="60% - Accent3 2" xfId="1876"/>
    <cellStyle name="60% - Accent3 2 2" xfId="1877"/>
    <cellStyle name="60% - Accent3 3" xfId="256"/>
    <cellStyle name="60% - Accent4 2" xfId="1878"/>
    <cellStyle name="60% - Accent4 2 2" xfId="1879"/>
    <cellStyle name="60% - Accent4 3" xfId="257"/>
    <cellStyle name="60% - Accent5 2" xfId="1880"/>
    <cellStyle name="60% - Accent5 2 2" xfId="1881"/>
    <cellStyle name="60% - Accent5 3" xfId="258"/>
    <cellStyle name="60% - Accent6 2" xfId="1882"/>
    <cellStyle name="60% - Accent6 2 2" xfId="1883"/>
    <cellStyle name="60% - Accent6 3" xfId="259"/>
    <cellStyle name="60% - Ênfase1" xfId="4102"/>
    <cellStyle name="60% - Ênfase2" xfId="4103"/>
    <cellStyle name="60% - Ênfase3" xfId="4104"/>
    <cellStyle name="60% - Ênfase4" xfId="4105"/>
    <cellStyle name="60% - Ênfase5" xfId="4106"/>
    <cellStyle name="60% - Ênfase6" xfId="4107"/>
    <cellStyle name="60% - Énfasis1 2" xfId="4108"/>
    <cellStyle name="60% - Énfasis1 2 2" xfId="4109"/>
    <cellStyle name="60% - Énfasis1_INFORME COMERCIAL" xfId="4110"/>
    <cellStyle name="60% - Énfasis2 2" xfId="4111"/>
    <cellStyle name="60% - Énfasis2 2 2" xfId="4112"/>
    <cellStyle name="60% - Énfasis3 2" xfId="4113"/>
    <cellStyle name="60% - Énfasis3 2 2" xfId="4114"/>
    <cellStyle name="60% - Énfasis3_INFORME COMERCIAL" xfId="4115"/>
    <cellStyle name="60% - Énfasis4 2" xfId="4116"/>
    <cellStyle name="60% - Énfasis4 2 2" xfId="4117"/>
    <cellStyle name="60% - Énfasis4_INFORME COMERCIAL" xfId="4118"/>
    <cellStyle name="60% - Énfasis5 2" xfId="4119"/>
    <cellStyle name="60% - Énfasis5 2 2" xfId="4120"/>
    <cellStyle name="60% - Énfasis6 2" xfId="4121"/>
    <cellStyle name="60% - Énfasis6 2 2" xfId="4122"/>
    <cellStyle name="60% - Énfasis6_INFORME COMERCIAL" xfId="4123"/>
    <cellStyle name="60% - 强调文字颜色 1 2" xfId="4124"/>
    <cellStyle name="60% - 强调文字颜色 1 3" xfId="4125"/>
    <cellStyle name="60% - 强调文字颜色 2 2" xfId="4126"/>
    <cellStyle name="60% - 强调文字颜色 2 3" xfId="4127"/>
    <cellStyle name="60% - 强调文字颜色 3 2" xfId="4128"/>
    <cellStyle name="60% - 强调文字颜色 3 3" xfId="4129"/>
    <cellStyle name="60% - 强调文字颜色 4 2" xfId="4130"/>
    <cellStyle name="60% - 强调文字颜色 4 3" xfId="4131"/>
    <cellStyle name="60% - 强调文字颜色 5 2" xfId="4132"/>
    <cellStyle name="60% - 强调文字颜色 5 3" xfId="4133"/>
    <cellStyle name="60% - 强调文字颜色 6 2" xfId="4134"/>
    <cellStyle name="60% - 强调文字颜色 6 3" xfId="4135"/>
    <cellStyle name="7_매출" xfId="260"/>
    <cellStyle name="Accent1 2" xfId="1884"/>
    <cellStyle name="Accent1 2 2" xfId="1885"/>
    <cellStyle name="Accent1 3" xfId="261"/>
    <cellStyle name="Accent2 2" xfId="1886"/>
    <cellStyle name="Accent2 2 2" xfId="1887"/>
    <cellStyle name="Accent2 3" xfId="262"/>
    <cellStyle name="Accent3 2" xfId="1888"/>
    <cellStyle name="Accent3 2 2" xfId="1889"/>
    <cellStyle name="Accent3 3" xfId="263"/>
    <cellStyle name="Accent4 2" xfId="1890"/>
    <cellStyle name="Accent4 2 2" xfId="1891"/>
    <cellStyle name="Accent4 3" xfId="264"/>
    <cellStyle name="Accent5 2" xfId="1892"/>
    <cellStyle name="Accent5 2 2" xfId="1893"/>
    <cellStyle name="Accent5 3" xfId="265"/>
    <cellStyle name="Accent6 2" xfId="1894"/>
    <cellStyle name="Accent6 2 2" xfId="1895"/>
    <cellStyle name="Accent6 3" xfId="266"/>
    <cellStyle name="Acct No" xfId="4136"/>
    <cellStyle name="Acct No (.0000)" xfId="4137"/>
    <cellStyle name="Across" xfId="1896"/>
    <cellStyle name="active" xfId="267"/>
    <cellStyle name="Actual Date" xfId="4138"/>
    <cellStyle name="Actual Date 2" xfId="4139"/>
    <cellStyle name="Actual Date 3" xfId="4140"/>
    <cellStyle name="Actual Date 4" xfId="4141"/>
    <cellStyle name="Actual Date 5" xfId="4142"/>
    <cellStyle name="Actual Date_Annexe Données Financières V2" xfId="4143"/>
    <cellStyle name="Advertencia" xfId="4144"/>
    <cellStyle name="AeE­ [0]_¿￢±¸°³¹ßAoAU2" xfId="268"/>
    <cellStyle name="ÅëÈ­ [0]_±âÅ¸" xfId="1897"/>
    <cellStyle name="AeE­ [0]_Book2" xfId="269"/>
    <cellStyle name="AeE­_¿￢±¸°³¹ßAoAU2" xfId="270"/>
    <cellStyle name="ÅëÈ­_±âÅ¸" xfId="1898"/>
    <cellStyle name="AeE­_Book2" xfId="271"/>
    <cellStyle name="AFE" xfId="272"/>
    <cellStyle name="ALIGNMENT" xfId="273"/>
    <cellStyle name="Amilcar" xfId="1899"/>
    <cellStyle name="amount" xfId="274"/>
    <cellStyle name="ANCLAS,REZONES Y SUS PARTES,DE FUNDICION,DE HIERRO O DE ACERO" xfId="4145"/>
    <cellStyle name="Ann'l_Incr" xfId="275"/>
    <cellStyle name="args.style" xfId="276"/>
    <cellStyle name="Assumption" xfId="277"/>
    <cellStyle name="AÞ¸¶ [0]_¸AAa_PERSONAL" xfId="278"/>
    <cellStyle name="ÄÞ¸¶ [0]_±âÅ¸" xfId="1900"/>
    <cellStyle name="AÞ¸¶ [0]_Book2" xfId="279"/>
    <cellStyle name="AÞ¸¶_¿¹≫eA¶A¤¿a±¸¼­" xfId="280"/>
    <cellStyle name="ÄÞ¸¶_±âÅ¸" xfId="1901"/>
    <cellStyle name="AÞ¸¶_Book2" xfId="281"/>
    <cellStyle name="Avertissement" xfId="4146"/>
    <cellStyle name="_x0001_b" xfId="282"/>
    <cellStyle name="Bad 2" xfId="1902"/>
    <cellStyle name="Bad 2 2" xfId="1903"/>
    <cellStyle name="Bad 3" xfId="283"/>
    <cellStyle name="Black" xfId="284"/>
    <cellStyle name="Black Days" xfId="285"/>
    <cellStyle name="Black Decimal" xfId="286"/>
    <cellStyle name="Black Dollar" xfId="287"/>
    <cellStyle name="Black EPS" xfId="288"/>
    <cellStyle name="Black Percent" xfId="289"/>
    <cellStyle name="Black Percent2" xfId="290"/>
    <cellStyle name="Black Times" xfId="291"/>
    <cellStyle name="Black Times Two Deci" xfId="292"/>
    <cellStyle name="Black Times Two Deci2" xfId="293"/>
    <cellStyle name="Black Times_INPUT" xfId="294"/>
    <cellStyle name="Black Times2" xfId="295"/>
    <cellStyle name="blank" xfId="1904"/>
    <cellStyle name="Blue" xfId="296"/>
    <cellStyle name="Blue Decimal" xfId="297"/>
    <cellStyle name="Blue Dollar" xfId="298"/>
    <cellStyle name="Blue EPS" xfId="299"/>
    <cellStyle name="blue shading" xfId="300"/>
    <cellStyle name="Blue Text" xfId="301"/>
    <cellStyle name="Blue Title" xfId="302"/>
    <cellStyle name="Blue Zero Deci" xfId="303"/>
    <cellStyle name="Blue_Heading" xfId="304"/>
    <cellStyle name="Body" xfId="1905"/>
    <cellStyle name="Body text" xfId="305"/>
    <cellStyle name="body text2" xfId="1906"/>
    <cellStyle name="body text2 2" xfId="4277"/>
    <cellStyle name="Body_$Numeric" xfId="306"/>
    <cellStyle name="bold" xfId="307"/>
    <cellStyle name="Bold/Border" xfId="308"/>
    <cellStyle name="bold_CapitalIQ - 7.17.06 v4" xfId="309"/>
    <cellStyle name="Border" xfId="310"/>
    <cellStyle name="Border, Bottom" xfId="1907"/>
    <cellStyle name="Border, Left" xfId="1908"/>
    <cellStyle name="Border, Left 2" xfId="4278"/>
    <cellStyle name="Border, Right" xfId="1909"/>
    <cellStyle name="Border, Top" xfId="1910"/>
    <cellStyle name="Bottom" xfId="1911"/>
    <cellStyle name="Bottom bold border" xfId="311"/>
    <cellStyle name="Bottom single border" xfId="312"/>
    <cellStyle name="BrödText" xfId="313"/>
    <cellStyle name="Bullet" xfId="314"/>
    <cellStyle name="C￥AØ_  FAB AIA¤  " xfId="315"/>
    <cellStyle name="Ç¥ÁØ_¿ù°£¿ä¾àº¸°í" xfId="1912"/>
    <cellStyle name="C￥AØ_Ao¹e±¸A¶" xfId="316"/>
    <cellStyle name="Calc Currency (0)" xfId="317"/>
    <cellStyle name="Calc Currency (2)" xfId="318"/>
    <cellStyle name="Calc Percent (0)" xfId="319"/>
    <cellStyle name="Calc Percent (1)" xfId="320"/>
    <cellStyle name="Calc Percent (2)" xfId="321"/>
    <cellStyle name="Calc Units (0)" xfId="322"/>
    <cellStyle name="Calc Units (1)" xfId="323"/>
    <cellStyle name="Calc Units (2)" xfId="324"/>
    <cellStyle name="Calculation 2" xfId="1913"/>
    <cellStyle name="Calculation 2 2" xfId="1914"/>
    <cellStyle name="Calculation 3" xfId="325"/>
    <cellStyle name="CapAdv_Box" xfId="326"/>
    <cellStyle name="Case" xfId="327"/>
    <cellStyle name="Cash Flow Statement" xfId="328"/>
    <cellStyle name="category" xfId="329"/>
    <cellStyle name="Category Name" xfId="330"/>
    <cellStyle name="Center" xfId="1915"/>
    <cellStyle name="Centered" xfId="1916"/>
    <cellStyle name="Centered Heading" xfId="331"/>
    <cellStyle name="ChartingText" xfId="332"/>
    <cellStyle name="Check Cell 2" xfId="1917"/>
    <cellStyle name="Check Cell 2 2" xfId="1918"/>
    <cellStyle name="Check Cell 3" xfId="333"/>
    <cellStyle name="Co. Names" xfId="1919"/>
    <cellStyle name="Co. Names - Bold" xfId="1920"/>
    <cellStyle name="Co. Names_Sales" xfId="1921"/>
    <cellStyle name="Code" xfId="334"/>
    <cellStyle name="Col. Headers" xfId="1922"/>
    <cellStyle name="ColHead" xfId="335"/>
    <cellStyle name="ColHead 2" xfId="336"/>
    <cellStyle name="ColHead 2 2" xfId="337"/>
    <cellStyle name="ColHead 2_2009 Plan Projected Financials One Method" xfId="338"/>
    <cellStyle name="ColHead 3" xfId="339"/>
    <cellStyle name="ColHead 4" xfId="340"/>
    <cellStyle name="ColHead 5" xfId="341"/>
    <cellStyle name="ColHead 6" xfId="342"/>
    <cellStyle name="ColHead_2009 Plan Projected Financials One Method" xfId="343"/>
    <cellStyle name="Color" xfId="344"/>
    <cellStyle name="Column Header" xfId="1923"/>
    <cellStyle name="Column totals" xfId="1924"/>
    <cellStyle name="Column_Title" xfId="345"/>
    <cellStyle name="ColumnHeaderNormal" xfId="346"/>
    <cellStyle name="ColumnHeaderNormal 2" xfId="1157"/>
    <cellStyle name="ColumnHeaderNormal 3" xfId="2585"/>
    <cellStyle name="ColumnHeaderNormal 4" xfId="2614"/>
    <cellStyle name="Comma" xfId="3" builtinId="3"/>
    <cellStyle name="Comma  - Style1" xfId="1925"/>
    <cellStyle name="Comma  - Style2" xfId="1926"/>
    <cellStyle name="Comma  - Style3" xfId="1927"/>
    <cellStyle name="Comma  - Style4" xfId="1928"/>
    <cellStyle name="Comma  - Style5" xfId="1929"/>
    <cellStyle name="Comma  - Style6" xfId="1930"/>
    <cellStyle name="Comma  - Style7" xfId="1931"/>
    <cellStyle name="Comma  - Style8" xfId="1932"/>
    <cellStyle name="Comma [0] 2" xfId="1933"/>
    <cellStyle name="Comma [0] 2 2" xfId="1934"/>
    <cellStyle name="Comma [0] 3" xfId="1935"/>
    <cellStyle name="Comma [0] 4" xfId="1936"/>
    <cellStyle name="Comma [00]" xfId="348"/>
    <cellStyle name="Comma [1]" xfId="349"/>
    <cellStyle name="Comma 0" xfId="350"/>
    <cellStyle name="Comma 0*" xfId="351"/>
    <cellStyle name="Comma 10" xfId="352"/>
    <cellStyle name="Comma 11" xfId="353"/>
    <cellStyle name="Comma 11 2" xfId="354"/>
    <cellStyle name="Comma 11 2 2" xfId="1161"/>
    <cellStyle name="Comma 11 2 3" xfId="1162"/>
    <cellStyle name="Comma 11 2 4" xfId="1163"/>
    <cellStyle name="Comma 11 2 5" xfId="1164"/>
    <cellStyle name="Comma 11 2 6" xfId="1165"/>
    <cellStyle name="Comma 11 3" xfId="1166"/>
    <cellStyle name="Comma 11 4" xfId="1167"/>
    <cellStyle name="Comma 11 5" xfId="1168"/>
    <cellStyle name="Comma 11 6" xfId="1169"/>
    <cellStyle name="Comma 11 7" xfId="1170"/>
    <cellStyle name="Comma 12" xfId="355"/>
    <cellStyle name="Comma 12 2" xfId="356"/>
    <cellStyle name="Comma 12 2 2" xfId="1171"/>
    <cellStyle name="Comma 12 2 3" xfId="1172"/>
    <cellStyle name="Comma 12 2 4" xfId="1173"/>
    <cellStyle name="Comma 12 2 5" xfId="1174"/>
    <cellStyle name="Comma 12 2 6" xfId="1175"/>
    <cellStyle name="Comma 12 3" xfId="1176"/>
    <cellStyle name="Comma 12 4" xfId="1177"/>
    <cellStyle name="Comma 12 5" xfId="1178"/>
    <cellStyle name="Comma 12 6" xfId="1179"/>
    <cellStyle name="Comma 12 7" xfId="1180"/>
    <cellStyle name="Comma 12 8" xfId="4177"/>
    <cellStyle name="Comma 13" xfId="1181"/>
    <cellStyle name="Comma 13 2" xfId="4213"/>
    <cellStyle name="Comma 14" xfId="1182"/>
    <cellStyle name="Comma 15" xfId="1183"/>
    <cellStyle name="Comma 16" xfId="1184"/>
    <cellStyle name="Comma 17" xfId="1185"/>
    <cellStyle name="Comma 18" xfId="1524"/>
    <cellStyle name="Comma 19" xfId="1566"/>
    <cellStyle name="Comma 2" xfId="357"/>
    <cellStyle name="Comma 2 10" xfId="1937"/>
    <cellStyle name="Comma 2 11" xfId="1938"/>
    <cellStyle name="Comma 2 12" xfId="1939"/>
    <cellStyle name="Comma 2 13" xfId="1940"/>
    <cellStyle name="Comma 2 14" xfId="1941"/>
    <cellStyle name="Comma 2 15" xfId="1942"/>
    <cellStyle name="Comma 2 16" xfId="1943"/>
    <cellStyle name="Comma 2 17" xfId="1944"/>
    <cellStyle name="Comma 2 18" xfId="1945"/>
    <cellStyle name="Comma 2 19" xfId="1946"/>
    <cellStyle name="Comma 2 2" xfId="358"/>
    <cellStyle name="Comma 2 2 2" xfId="359"/>
    <cellStyle name="Comma 2 2 2 2" xfId="1186"/>
    <cellStyle name="Comma 2 2 3" xfId="360"/>
    <cellStyle name="Comma 2 2 4" xfId="361"/>
    <cellStyle name="Comma 2 2 5" xfId="362"/>
    <cellStyle name="Comma 2 2 6" xfId="363"/>
    <cellStyle name="Comma 2 2 6 2" xfId="1187"/>
    <cellStyle name="Comma 2 2 6 3" xfId="1188"/>
    <cellStyle name="Comma 2 2 6 4" xfId="1189"/>
    <cellStyle name="Comma 2 2 6 5" xfId="1190"/>
    <cellStyle name="Comma 2 2 6 6" xfId="1191"/>
    <cellStyle name="Comma 2 2 7" xfId="1192"/>
    <cellStyle name="Comma 2 2 8" xfId="1193"/>
    <cellStyle name="Comma 2 2 9" xfId="4220"/>
    <cellStyle name="Comma 2 20" xfId="1947"/>
    <cellStyle name="Comma 2 21" xfId="1948"/>
    <cellStyle name="Comma 2 22" xfId="1949"/>
    <cellStyle name="Comma 2 23" xfId="1950"/>
    <cellStyle name="Comma 2 24" xfId="1951"/>
    <cellStyle name="Comma 2 25" xfId="1952"/>
    <cellStyle name="Comma 2 26" xfId="1953"/>
    <cellStyle name="Comma 2 27" xfId="1954"/>
    <cellStyle name="Comma 2 28" xfId="1955"/>
    <cellStyle name="Comma 2 29" xfId="1956"/>
    <cellStyle name="Comma 2 3" xfId="364"/>
    <cellStyle name="Comma 2 3 2" xfId="365"/>
    <cellStyle name="Comma 2 30" xfId="1957"/>
    <cellStyle name="Comma 2 31" xfId="1958"/>
    <cellStyle name="Comma 2 32" xfId="1959"/>
    <cellStyle name="Comma 2 33" xfId="1960"/>
    <cellStyle name="Comma 2 34" xfId="1961"/>
    <cellStyle name="Comma 2 35" xfId="1962"/>
    <cellStyle name="Comma 2 36" xfId="1963"/>
    <cellStyle name="Comma 2 37" xfId="1964"/>
    <cellStyle name="Comma 2 38" xfId="1965"/>
    <cellStyle name="Comma 2 39" xfId="1966"/>
    <cellStyle name="Comma 2 4" xfId="1526"/>
    <cellStyle name="Comma 2 40" xfId="1967"/>
    <cellStyle name="Comma 2 41" xfId="1968"/>
    <cellStyle name="Comma 2 42" xfId="1969"/>
    <cellStyle name="Comma 2 43" xfId="1970"/>
    <cellStyle name="Comma 2 44" xfId="1971"/>
    <cellStyle name="Comma 2 45" xfId="1972"/>
    <cellStyle name="Comma 2 46" xfId="1973"/>
    <cellStyle name="Comma 2 47" xfId="1974"/>
    <cellStyle name="Comma 2 48" xfId="1975"/>
    <cellStyle name="Comma 2 49" xfId="1976"/>
    <cellStyle name="Comma 2 5" xfId="1977"/>
    <cellStyle name="Comma 2 50" xfId="1978"/>
    <cellStyle name="Comma 2 51" xfId="1979"/>
    <cellStyle name="Comma 2 52" xfId="1980"/>
    <cellStyle name="Comma 2 53" xfId="1981"/>
    <cellStyle name="Comma 2 54" xfId="1982"/>
    <cellStyle name="Comma 2 55" xfId="1983"/>
    <cellStyle name="Comma 2 56" xfId="1984"/>
    <cellStyle name="Comma 2 57" xfId="1985"/>
    <cellStyle name="Comma 2 58" xfId="1986"/>
    <cellStyle name="Comma 2 59" xfId="1987"/>
    <cellStyle name="Comma 2 6" xfId="1988"/>
    <cellStyle name="Comma 2 60" xfId="1989"/>
    <cellStyle name="Comma 2 61" xfId="1990"/>
    <cellStyle name="Comma 2 62" xfId="1991"/>
    <cellStyle name="Comma 2 63" xfId="1992"/>
    <cellStyle name="Comma 2 64" xfId="4218"/>
    <cellStyle name="Comma 2 7" xfId="1993"/>
    <cellStyle name="Comma 2 8" xfId="1994"/>
    <cellStyle name="Comma 2 9" xfId="1995"/>
    <cellStyle name="Comma 2_2009 Plan Projected Financials One Method" xfId="366"/>
    <cellStyle name="Comma 20" xfId="1996"/>
    <cellStyle name="Comma 21" xfId="1997"/>
    <cellStyle name="Comma 22" xfId="1998"/>
    <cellStyle name="Comma 23" xfId="1999"/>
    <cellStyle name="Comma 24" xfId="2000"/>
    <cellStyle name="Comma 25" xfId="2001"/>
    <cellStyle name="Comma 26" xfId="2002"/>
    <cellStyle name="Comma 27" xfId="2003"/>
    <cellStyle name="Comma 28" xfId="2566"/>
    <cellStyle name="Comma 29" xfId="2596"/>
    <cellStyle name="Comma 3" xfId="367"/>
    <cellStyle name="Comma 3 10" xfId="2004"/>
    <cellStyle name="Comma 3 11" xfId="2005"/>
    <cellStyle name="Comma 3 12" xfId="2006"/>
    <cellStyle name="Comma 3 13" xfId="2007"/>
    <cellStyle name="Comma 3 14" xfId="2008"/>
    <cellStyle name="Comma 3 15" xfId="2009"/>
    <cellStyle name="Comma 3 16" xfId="2010"/>
    <cellStyle name="Comma 3 17" xfId="2011"/>
    <cellStyle name="Comma 3 18" xfId="2012"/>
    <cellStyle name="Comma 3 19" xfId="2013"/>
    <cellStyle name="Comma 3 2" xfId="368"/>
    <cellStyle name="Comma 3 20" xfId="2014"/>
    <cellStyle name="Comma 3 21" xfId="2015"/>
    <cellStyle name="Comma 3 22" xfId="2016"/>
    <cellStyle name="Comma 3 23" xfId="2017"/>
    <cellStyle name="Comma 3 24" xfId="2018"/>
    <cellStyle name="Comma 3 25" xfId="2019"/>
    <cellStyle name="Comma 3 26" xfId="2020"/>
    <cellStyle name="Comma 3 27" xfId="2021"/>
    <cellStyle name="Comma 3 28" xfId="2022"/>
    <cellStyle name="Comma 3 29" xfId="2023"/>
    <cellStyle name="Comma 3 3" xfId="369"/>
    <cellStyle name="Comma 3 30" xfId="2024"/>
    <cellStyle name="Comma 3 31" xfId="2025"/>
    <cellStyle name="Comma 3 32" xfId="2026"/>
    <cellStyle name="Comma 3 33" xfId="2027"/>
    <cellStyle name="Comma 3 34" xfId="2028"/>
    <cellStyle name="Comma 3 35" xfId="2029"/>
    <cellStyle name="Comma 3 36" xfId="2030"/>
    <cellStyle name="Comma 3 37" xfId="2031"/>
    <cellStyle name="Comma 3 38" xfId="2032"/>
    <cellStyle name="Comma 3 39" xfId="2033"/>
    <cellStyle name="Comma 3 4" xfId="1194"/>
    <cellStyle name="Comma 3 40" xfId="2034"/>
    <cellStyle name="Comma 3 41" xfId="2035"/>
    <cellStyle name="Comma 3 42" xfId="2036"/>
    <cellStyle name="Comma 3 43" xfId="2037"/>
    <cellStyle name="Comma 3 44" xfId="2038"/>
    <cellStyle name="Comma 3 45" xfId="2039"/>
    <cellStyle name="Comma 3 46" xfId="2040"/>
    <cellStyle name="Comma 3 47" xfId="2041"/>
    <cellStyle name="Comma 3 48" xfId="2042"/>
    <cellStyle name="Comma 3 49" xfId="2043"/>
    <cellStyle name="Comma 3 5" xfId="1195"/>
    <cellStyle name="Comma 3 50" xfId="2044"/>
    <cellStyle name="Comma 3 51" xfId="2045"/>
    <cellStyle name="Comma 3 52" xfId="2046"/>
    <cellStyle name="Comma 3 53" xfId="2047"/>
    <cellStyle name="Comma 3 54" xfId="2048"/>
    <cellStyle name="Comma 3 55" xfId="2049"/>
    <cellStyle name="Comma 3 56" xfId="2050"/>
    <cellStyle name="Comma 3 57" xfId="2051"/>
    <cellStyle name="Comma 3 58" xfId="4153"/>
    <cellStyle name="Comma 3 6" xfId="1196"/>
    <cellStyle name="Comma 3 7" xfId="1197"/>
    <cellStyle name="Comma 3 8" xfId="1198"/>
    <cellStyle name="Comma 3 9" xfId="2052"/>
    <cellStyle name="Comma 3*" xfId="370"/>
    <cellStyle name="Comma 30" xfId="2053"/>
    <cellStyle name="Comma 31" xfId="2617"/>
    <cellStyle name="Comma 32" xfId="2627"/>
    <cellStyle name="Comma 33" xfId="2054"/>
    <cellStyle name="Comma 34" xfId="2629"/>
    <cellStyle name="Comma 35" xfId="4160"/>
    <cellStyle name="Comma 36" xfId="2055"/>
    <cellStyle name="Comma 37" xfId="4163"/>
    <cellStyle name="Comma 38" xfId="347"/>
    <cellStyle name="Comma 39" xfId="4235"/>
    <cellStyle name="Comma 4" xfId="371"/>
    <cellStyle name="Comma 4 10" xfId="2056"/>
    <cellStyle name="Comma 4 11" xfId="2057"/>
    <cellStyle name="Comma 4 12" xfId="2058"/>
    <cellStyle name="Comma 4 13" xfId="2059"/>
    <cellStyle name="Comma 4 14" xfId="2060"/>
    <cellStyle name="Comma 4 15" xfId="2061"/>
    <cellStyle name="Comma 4 16" xfId="2062"/>
    <cellStyle name="Comma 4 17" xfId="2063"/>
    <cellStyle name="Comma 4 18" xfId="2064"/>
    <cellStyle name="Comma 4 19" xfId="2065"/>
    <cellStyle name="Comma 4 2" xfId="372"/>
    <cellStyle name="Comma 4 20" xfId="2066"/>
    <cellStyle name="Comma 4 21" xfId="2067"/>
    <cellStyle name="Comma 4 22" xfId="2068"/>
    <cellStyle name="Comma 4 23" xfId="2069"/>
    <cellStyle name="Comma 4 24" xfId="2070"/>
    <cellStyle name="Comma 4 25" xfId="2071"/>
    <cellStyle name="Comma 4 26" xfId="2072"/>
    <cellStyle name="Comma 4 27" xfId="2622"/>
    <cellStyle name="Comma 4 28" xfId="4172"/>
    <cellStyle name="Comma 4 3" xfId="2073"/>
    <cellStyle name="Comma 4 4" xfId="2074"/>
    <cellStyle name="Comma 4 5" xfId="2075"/>
    <cellStyle name="Comma 4 6" xfId="2076"/>
    <cellStyle name="Comma 4 7" xfId="2077"/>
    <cellStyle name="Comma 4 8" xfId="2078"/>
    <cellStyle name="Comma 4 9" xfId="2079"/>
    <cellStyle name="Comma 40" xfId="2080"/>
    <cellStyle name="Comma 41" xfId="2081"/>
    <cellStyle name="Comma 42" xfId="2082"/>
    <cellStyle name="Comma 43" xfId="2083"/>
    <cellStyle name="Comma 44" xfId="2084"/>
    <cellStyle name="Comma 45" xfId="2085"/>
    <cellStyle name="Comma 46" xfId="2086"/>
    <cellStyle name="Comma 47" xfId="2087"/>
    <cellStyle name="Comma 48" xfId="2088"/>
    <cellStyle name="Comma 49" xfId="2089"/>
    <cellStyle name="Comma 5" xfId="373"/>
    <cellStyle name="Comma 5 2" xfId="374"/>
    <cellStyle name="Comma 5 2 2" xfId="375"/>
    <cellStyle name="Comma 5 2 2 2" xfId="1199"/>
    <cellStyle name="Comma 5 2 2 3" xfId="1200"/>
    <cellStyle name="Comma 5 2 2 4" xfId="1201"/>
    <cellStyle name="Comma 5 2 2 5" xfId="1202"/>
    <cellStyle name="Comma 5 2 2 6" xfId="1203"/>
    <cellStyle name="Comma 5 2 3" xfId="1204"/>
    <cellStyle name="Comma 5 2 4" xfId="1205"/>
    <cellStyle name="Comma 5 2 5" xfId="1206"/>
    <cellStyle name="Comma 5 2 6" xfId="1207"/>
    <cellStyle name="Comma 5 2 7" xfId="1208"/>
    <cellStyle name="Comma 5 3" xfId="376"/>
    <cellStyle name="Comma 5 4" xfId="377"/>
    <cellStyle name="Comma 5 4 2" xfId="1209"/>
    <cellStyle name="Comma 5 4 3" xfId="1210"/>
    <cellStyle name="Comma 5 4 4" xfId="1211"/>
    <cellStyle name="Comma 5 4 5" xfId="1212"/>
    <cellStyle name="Comma 5 4 6" xfId="1213"/>
    <cellStyle name="Comma 5 5" xfId="4148"/>
    <cellStyle name="Comma 5 6" xfId="4174"/>
    <cellStyle name="Comma 50" xfId="2090"/>
    <cellStyle name="Comma 51" xfId="2091"/>
    <cellStyle name="Comma 52" xfId="2092"/>
    <cellStyle name="Comma 53" xfId="2093"/>
    <cellStyle name="Comma 54" xfId="2094"/>
    <cellStyle name="Comma 55" xfId="2095"/>
    <cellStyle name="Comma 56" xfId="2096"/>
    <cellStyle name="Comma 57" xfId="2097"/>
    <cellStyle name="Comma 58" xfId="2098"/>
    <cellStyle name="Comma 6" xfId="378"/>
    <cellStyle name="Comma 6 2" xfId="379"/>
    <cellStyle name="Comma 6 2 2" xfId="1214"/>
    <cellStyle name="Comma 6 2 2 2" xfId="2099"/>
    <cellStyle name="Comma 6 2 2 3" xfId="2100"/>
    <cellStyle name="Comma 6 2 3" xfId="1215"/>
    <cellStyle name="Comma 6 2 4" xfId="1216"/>
    <cellStyle name="Comma 6 2 5" xfId="1217"/>
    <cellStyle name="Comma 6 2 6" xfId="1218"/>
    <cellStyle name="Comma 6 3" xfId="1219"/>
    <cellStyle name="Comma 6 4" xfId="1220"/>
    <cellStyle name="Comma 6 5" xfId="1221"/>
    <cellStyle name="Comma 6 6" xfId="1222"/>
    <cellStyle name="Comma 6 7" xfId="1223"/>
    <cellStyle name="Comma 7" xfId="380"/>
    <cellStyle name="Comma 7 2" xfId="381"/>
    <cellStyle name="Comma 7 2 2" xfId="1224"/>
    <cellStyle name="Comma 7 2 3" xfId="1225"/>
    <cellStyle name="Comma 7 2 4" xfId="1226"/>
    <cellStyle name="Comma 7 2 5" xfId="1227"/>
    <cellStyle name="Comma 7 2 6" xfId="1228"/>
    <cellStyle name="Comma 7 3" xfId="1229"/>
    <cellStyle name="Comma 7 4" xfId="1230"/>
    <cellStyle name="Comma 7 5" xfId="1231"/>
    <cellStyle name="Comma 7 6" xfId="1232"/>
    <cellStyle name="Comma 7 7" xfId="1233"/>
    <cellStyle name="Comma 8" xfId="382"/>
    <cellStyle name="Comma 8 2" xfId="2101"/>
    <cellStyle name="Comma 8 3" xfId="2102"/>
    <cellStyle name="Comma 8 4" xfId="4184"/>
    <cellStyle name="Comma 9" xfId="383"/>
    <cellStyle name="Comma Input" xfId="384"/>
    <cellStyle name="comma zerodec" xfId="385"/>
    <cellStyle name="Comma0" xfId="386"/>
    <cellStyle name="Comma0 - Style1" xfId="2103"/>
    <cellStyle name="Comma0 - Style2" xfId="2104"/>
    <cellStyle name="Comma0 - Style3" xfId="2105"/>
    <cellStyle name="Comma0 - Style4" xfId="2106"/>
    <cellStyle name="Comma0 - Style5" xfId="2107"/>
    <cellStyle name="Comma0 - Style6" xfId="2108"/>
    <cellStyle name="Comma0 - Style7" xfId="2109"/>
    <cellStyle name="Comma0_IN-S Asia 2005-03" xfId="2110"/>
    <cellStyle name="Comma1" xfId="387"/>
    <cellStyle name="Comma1 - Style1" xfId="2111"/>
    <cellStyle name="Comma2" xfId="388"/>
    <cellStyle name="CommaZeroDecimal" xfId="2112"/>
    <cellStyle name="Company Name" xfId="389"/>
    <cellStyle name="CompanyName" xfId="390"/>
    <cellStyle name="Copied" xfId="391"/>
    <cellStyle name="Copied 2" xfId="392"/>
    <cellStyle name="Copied 3" xfId="393"/>
    <cellStyle name="Copied 4" xfId="394"/>
    <cellStyle name="Copied 5" xfId="395"/>
    <cellStyle name="Copied 6" xfId="396"/>
    <cellStyle name="Copied_2009 Plan Projected Financials One Method" xfId="397"/>
    <cellStyle name="Curren - Style1" xfId="2113"/>
    <cellStyle name="Curren - Style2" xfId="398"/>
    <cellStyle name="Curren - Style4" xfId="2114"/>
    <cellStyle name="Curren - Style5" xfId="2115"/>
    <cellStyle name="Curren - Style6" xfId="2116"/>
    <cellStyle name="Curren - Style8" xfId="2117"/>
    <cellStyle name="Currency (0.00)" xfId="399"/>
    <cellStyle name="Currency (black)" xfId="2118"/>
    <cellStyle name="Currency (blue)" xfId="2119"/>
    <cellStyle name="Currency [0] 2" xfId="4154"/>
    <cellStyle name="Currency [00]" xfId="400"/>
    <cellStyle name="Currency [1]" xfId="401"/>
    <cellStyle name="Currency [2]" xfId="402"/>
    <cellStyle name="Currency 0" xfId="403"/>
    <cellStyle name="Currency 2" xfId="404"/>
    <cellStyle name="Currency 2 10" xfId="2120"/>
    <cellStyle name="Currency 2 11" xfId="2121"/>
    <cellStyle name="Currency 2 12" xfId="2122"/>
    <cellStyle name="Currency 2 13" xfId="2123"/>
    <cellStyle name="Currency 2 14" xfId="2124"/>
    <cellStyle name="Currency 2 15" xfId="2125"/>
    <cellStyle name="Currency 2 16" xfId="2126"/>
    <cellStyle name="Currency 2 17" xfId="2127"/>
    <cellStyle name="Currency 2 18" xfId="2128"/>
    <cellStyle name="Currency 2 19" xfId="2129"/>
    <cellStyle name="Currency 2 2" xfId="405"/>
    <cellStyle name="Currency 2 2 2" xfId="406"/>
    <cellStyle name="Currency 2 2 2 2" xfId="1234"/>
    <cellStyle name="Currency 2 2 2 3" xfId="1235"/>
    <cellStyle name="Currency 2 2 2 4" xfId="1236"/>
    <cellStyle name="Currency 2 2 2 5" xfId="1237"/>
    <cellStyle name="Currency 2 2 2 6" xfId="1238"/>
    <cellStyle name="Currency 2 2 3" xfId="1239"/>
    <cellStyle name="Currency 2 2 4" xfId="1240"/>
    <cellStyle name="Currency 2 2 5" xfId="1241"/>
    <cellStyle name="Currency 2 2 6" xfId="1242"/>
    <cellStyle name="Currency 2 2 7" xfId="1243"/>
    <cellStyle name="Currency 2 2 8" xfId="4219"/>
    <cellStyle name="Currency 2 20" xfId="2130"/>
    <cellStyle name="Currency 2 21" xfId="2131"/>
    <cellStyle name="Currency 2 22" xfId="2132"/>
    <cellStyle name="Currency 2 23" xfId="2133"/>
    <cellStyle name="Currency 2 24" xfId="2134"/>
    <cellStyle name="Currency 2 25" xfId="2135"/>
    <cellStyle name="Currency 2 26" xfId="2136"/>
    <cellStyle name="Currency 2 27" xfId="2137"/>
    <cellStyle name="Currency 2 28" xfId="2138"/>
    <cellStyle name="Currency 2 29" xfId="2139"/>
    <cellStyle name="Currency 2 3" xfId="407"/>
    <cellStyle name="Currency 2 30" xfId="2140"/>
    <cellStyle name="Currency 2 31" xfId="2141"/>
    <cellStyle name="Currency 2 32" xfId="2142"/>
    <cellStyle name="Currency 2 33" xfId="2143"/>
    <cellStyle name="Currency 2 34" xfId="2144"/>
    <cellStyle name="Currency 2 35" xfId="2145"/>
    <cellStyle name="Currency 2 36" xfId="2146"/>
    <cellStyle name="Currency 2 37" xfId="2147"/>
    <cellStyle name="Currency 2 38" xfId="2148"/>
    <cellStyle name="Currency 2 39" xfId="2149"/>
    <cellStyle name="Currency 2 4" xfId="2150"/>
    <cellStyle name="Currency 2 40" xfId="2151"/>
    <cellStyle name="Currency 2 41" xfId="2152"/>
    <cellStyle name="Currency 2 42" xfId="2153"/>
    <cellStyle name="Currency 2 43" xfId="2154"/>
    <cellStyle name="Currency 2 44" xfId="2155"/>
    <cellStyle name="Currency 2 45" xfId="2156"/>
    <cellStyle name="Currency 2 46" xfId="2157"/>
    <cellStyle name="Currency 2 47" xfId="2158"/>
    <cellStyle name="Currency 2 48" xfId="2159"/>
    <cellStyle name="Currency 2 49" xfId="2160"/>
    <cellStyle name="Currency 2 5" xfId="2161"/>
    <cellStyle name="Currency 2 50" xfId="2162"/>
    <cellStyle name="Currency 2 51" xfId="2163"/>
    <cellStyle name="Currency 2 52" xfId="2164"/>
    <cellStyle name="Currency 2 53" xfId="2165"/>
    <cellStyle name="Currency 2 54" xfId="2166"/>
    <cellStyle name="Currency 2 55" xfId="2167"/>
    <cellStyle name="Currency 2 56" xfId="2168"/>
    <cellStyle name="Currency 2 57" xfId="2169"/>
    <cellStyle name="Currency 2 58" xfId="2170"/>
    <cellStyle name="Currency 2 59" xfId="2171"/>
    <cellStyle name="Currency 2 6" xfId="2172"/>
    <cellStyle name="Currency 2 60" xfId="2173"/>
    <cellStyle name="Currency 2 61" xfId="2174"/>
    <cellStyle name="Currency 2 62" xfId="2175"/>
    <cellStyle name="Currency 2 63" xfId="2176"/>
    <cellStyle name="Currency 2 64" xfId="2177"/>
    <cellStyle name="Currency 2 7" xfId="2178"/>
    <cellStyle name="Currency 2 8" xfId="2179"/>
    <cellStyle name="Currency 2 9" xfId="2180"/>
    <cellStyle name="Currency 2*" xfId="408"/>
    <cellStyle name="Currency 2_2009 Plan Projected Financials One Method" xfId="409"/>
    <cellStyle name="Currency 3" xfId="410"/>
    <cellStyle name="Currency 3 2" xfId="2181"/>
    <cellStyle name="Currency 3 3" xfId="2182"/>
    <cellStyle name="Currency 3*" xfId="411"/>
    <cellStyle name="Currency 34" xfId="2183"/>
    <cellStyle name="Currency 4" xfId="412"/>
    <cellStyle name="Currency 4 2" xfId="413"/>
    <cellStyle name="Currency 4 2 2" xfId="1244"/>
    <cellStyle name="Currency 4 2 2 2" xfId="2184"/>
    <cellStyle name="Currency 4 2 2 3" xfId="2185"/>
    <cellStyle name="Currency 4 2 3" xfId="1245"/>
    <cellStyle name="Currency 4 2 4" xfId="1246"/>
    <cellStyle name="Currency 4 2 5" xfId="1247"/>
    <cellStyle name="Currency 4 2 6" xfId="1248"/>
    <cellStyle name="Currency 4 3" xfId="4173"/>
    <cellStyle name="Currency 5" xfId="414"/>
    <cellStyle name="Currency 6" xfId="2186"/>
    <cellStyle name="Currency 7" xfId="4196"/>
    <cellStyle name="Currency 8" xfId="1159"/>
    <cellStyle name="Currency 9" xfId="4276"/>
    <cellStyle name="Currency Input" xfId="415"/>
    <cellStyle name="Currency0" xfId="416"/>
    <cellStyle name="Currency1" xfId="417"/>
    <cellStyle name="Custom - Style8" xfId="2195"/>
    <cellStyle name="d/m/yr" xfId="418"/>
    <cellStyle name="Darkened" xfId="4180"/>
    <cellStyle name="Dash" xfId="419"/>
    <cellStyle name="Data   - Style2" xfId="2196"/>
    <cellStyle name="Data entry" xfId="420"/>
    <cellStyle name="DataBases" xfId="421"/>
    <cellStyle name="DataToHide" xfId="422"/>
    <cellStyle name="Date" xfId="423"/>
    <cellStyle name="Date - Style1" xfId="2187"/>
    <cellStyle name="Date - Style2" xfId="2188"/>
    <cellStyle name="Date - Style3" xfId="2189"/>
    <cellStyle name="Date - Style4" xfId="2190"/>
    <cellStyle name="Date - Style5" xfId="2191"/>
    <cellStyle name="Date [d-mmm-yy]" xfId="424"/>
    <cellStyle name="Date [mm-d-yy]" xfId="425"/>
    <cellStyle name="Date [mm-d-yyyy]" xfId="426"/>
    <cellStyle name="Date [mmm-d-yyyy]" xfId="427"/>
    <cellStyle name="Date [mmm-yy]" xfId="428"/>
    <cellStyle name="Date Aligned" xfId="429"/>
    <cellStyle name="Date Short" xfId="430"/>
    <cellStyle name="Date Year" xfId="431"/>
    <cellStyle name="Date/FG" xfId="2192"/>
    <cellStyle name="Date_BOOK1" xfId="432"/>
    <cellStyle name="DATES" xfId="433"/>
    <cellStyle name="DateYear" xfId="434"/>
    <cellStyle name="DateYearEstimate" xfId="435"/>
    <cellStyle name="DateYearWholeEstimate" xfId="436"/>
    <cellStyle name="Daydate" xfId="437"/>
    <cellStyle name="Day-Mon-Yr" xfId="438"/>
    <cellStyle name="Decimal" xfId="439"/>
    <cellStyle name="Decimal Number" xfId="440"/>
    <cellStyle name="default" xfId="441"/>
    <cellStyle name="DELTA" xfId="442"/>
    <cellStyle name="Dezimal [0]_Central Install 6-up" xfId="443"/>
    <cellStyle name="Dezimal_Central Install 6-up" xfId="444"/>
    <cellStyle name="Dollar" xfId="445"/>
    <cellStyle name="dollars" xfId="446"/>
    <cellStyle name="Dollars []" xfId="447"/>
    <cellStyle name="Dollars_Canon CapIQ linked v1" xfId="448"/>
    <cellStyle name="DollarWhole" xfId="449"/>
    <cellStyle name="Dotted Line" xfId="450"/>
    <cellStyle name="Double Bottom" xfId="451"/>
    <cellStyle name="Download" xfId="452"/>
    <cellStyle name="Enter Currency (0)" xfId="453"/>
    <cellStyle name="Enter Currency (2)" xfId="454"/>
    <cellStyle name="Enter Units (0)" xfId="455"/>
    <cellStyle name="Enter Units (1)" xfId="456"/>
    <cellStyle name="Enter Units (2)" xfId="457"/>
    <cellStyle name="Entered" xfId="458"/>
    <cellStyle name="Entered 2" xfId="459"/>
    <cellStyle name="Entered 3" xfId="460"/>
    <cellStyle name="Entered 4" xfId="461"/>
    <cellStyle name="Entered 5" xfId="462"/>
    <cellStyle name="Entered 6" xfId="463"/>
    <cellStyle name="Entered_2009 Plan Projected Financials One Method" xfId="464"/>
    <cellStyle name="Entities" xfId="465"/>
    <cellStyle name="Euro" xfId="466"/>
    <cellStyle name="Euro 2" xfId="467"/>
    <cellStyle name="Euro 3" xfId="468"/>
    <cellStyle name="Euro_2009 Plan Projected Financials One Method" xfId="469"/>
    <cellStyle name="Explanatory Text 2" xfId="470"/>
    <cellStyle name="EYColumnHeading" xfId="4281"/>
    <cellStyle name="EYCurrency" xfId="4280"/>
    <cellStyle name="EYtextbold" xfId="2"/>
    <cellStyle name="F2" xfId="471"/>
    <cellStyle name="F3" xfId="472"/>
    <cellStyle name="F4" xfId="473"/>
    <cellStyle name="F5" xfId="474"/>
    <cellStyle name="F6" xfId="475"/>
    <cellStyle name="F7" xfId="476"/>
    <cellStyle name="F8" xfId="477"/>
    <cellStyle name="Final_Data" xfId="478"/>
    <cellStyle name="Fixed" xfId="479"/>
    <cellStyle name="Fixed [0]" xfId="480"/>
    <cellStyle name="Fixed_Burdick DCF Model -10" xfId="481"/>
    <cellStyle name="Fixed0" xfId="482"/>
    <cellStyle name="Footnote" xfId="483"/>
    <cellStyle name="ForecastInput" xfId="484"/>
    <cellStyle name="Format Number Column" xfId="485"/>
    <cellStyle name="Global" xfId="486"/>
    <cellStyle name="Good 2" xfId="487"/>
    <cellStyle name="Grey" xfId="488"/>
    <cellStyle name="Growth" xfId="489"/>
    <cellStyle name="GrowthRate" xfId="490"/>
    <cellStyle name="Hard Percent" xfId="491"/>
    <cellStyle name="header" xfId="492"/>
    <cellStyle name="header 2" xfId="4236"/>
    <cellStyle name="Header Total" xfId="493"/>
    <cellStyle name="Header_5 Yr finl fcst" xfId="494"/>
    <cellStyle name="Header1" xfId="495"/>
    <cellStyle name="Header1 2" xfId="496"/>
    <cellStyle name="Header1 3" xfId="497"/>
    <cellStyle name="Header1 4" xfId="498"/>
    <cellStyle name="Header1 5" xfId="499"/>
    <cellStyle name="Header1 6" xfId="500"/>
    <cellStyle name="Header1_2009 Plan Projected Financials One Method" xfId="501"/>
    <cellStyle name="Header2" xfId="502"/>
    <cellStyle name="Header2 10" xfId="1249"/>
    <cellStyle name="Header2 11" xfId="1250"/>
    <cellStyle name="Header2 12" xfId="1251"/>
    <cellStyle name="Header2 2" xfId="503"/>
    <cellStyle name="Header2 2 2" xfId="504"/>
    <cellStyle name="Header2 2 2 2" xfId="1252"/>
    <cellStyle name="Header2 2 2 3" xfId="1253"/>
    <cellStyle name="Header2 2 2 4" xfId="1254"/>
    <cellStyle name="Header2 2 2 5" xfId="1255"/>
    <cellStyle name="Header2 2 2 6" xfId="1256"/>
    <cellStyle name="Header2 2 3" xfId="1257"/>
    <cellStyle name="Header2 2 4" xfId="1258"/>
    <cellStyle name="Header2 2 5" xfId="1259"/>
    <cellStyle name="Header2 2 6" xfId="1260"/>
    <cellStyle name="Header2 2 7" xfId="1261"/>
    <cellStyle name="Header2 2_2009 Plan Projected Financials One Method" xfId="505"/>
    <cellStyle name="Header2 3" xfId="506"/>
    <cellStyle name="Header2 3 2" xfId="507"/>
    <cellStyle name="Header2 3 2 2" xfId="1262"/>
    <cellStyle name="Header2 3 2 3" xfId="1263"/>
    <cellStyle name="Header2 3 2 4" xfId="1264"/>
    <cellStyle name="Header2 3 2 5" xfId="1265"/>
    <cellStyle name="Header2 3 2 6" xfId="1266"/>
    <cellStyle name="Header2 3 3" xfId="1267"/>
    <cellStyle name="Header2 3 4" xfId="1268"/>
    <cellStyle name="Header2 3 5" xfId="1269"/>
    <cellStyle name="Header2 3 6" xfId="1270"/>
    <cellStyle name="Header2 3 7" xfId="1271"/>
    <cellStyle name="Header2 3_2009 Plan Projected Financials One Method" xfId="508"/>
    <cellStyle name="Header2 4" xfId="509"/>
    <cellStyle name="Header2 4 2" xfId="510"/>
    <cellStyle name="Header2 4 2 2" xfId="1272"/>
    <cellStyle name="Header2 4 2 3" xfId="1273"/>
    <cellStyle name="Header2 4 2 4" xfId="1274"/>
    <cellStyle name="Header2 4 2 5" xfId="1275"/>
    <cellStyle name="Header2 4 2 6" xfId="1276"/>
    <cellStyle name="Header2 4 3" xfId="1277"/>
    <cellStyle name="Header2 4 4" xfId="1278"/>
    <cellStyle name="Header2 4 5" xfId="1279"/>
    <cellStyle name="Header2 4 6" xfId="1280"/>
    <cellStyle name="Header2 4 7" xfId="1281"/>
    <cellStyle name="Header2 4_2009 Plan Projected Financials One Method" xfId="511"/>
    <cellStyle name="Header2 5" xfId="512"/>
    <cellStyle name="Header2 5 2" xfId="513"/>
    <cellStyle name="Header2 5 2 2" xfId="1282"/>
    <cellStyle name="Header2 5 2 3" xfId="1283"/>
    <cellStyle name="Header2 5 2 4" xfId="1284"/>
    <cellStyle name="Header2 5 2 5" xfId="1285"/>
    <cellStyle name="Header2 5 2 6" xfId="1286"/>
    <cellStyle name="Header2 5 3" xfId="1287"/>
    <cellStyle name="Header2 5 4" xfId="1288"/>
    <cellStyle name="Header2 5 5" xfId="1289"/>
    <cellStyle name="Header2 5 6" xfId="1290"/>
    <cellStyle name="Header2 5 7" xfId="1291"/>
    <cellStyle name="Header2 5_2009 Plan Projected Financials One Method" xfId="514"/>
    <cellStyle name="Header2 6" xfId="515"/>
    <cellStyle name="Header2 6 2" xfId="516"/>
    <cellStyle name="Header2 6 2 2" xfId="1292"/>
    <cellStyle name="Header2 6 2 3" xfId="1293"/>
    <cellStyle name="Header2 6 2 4" xfId="1294"/>
    <cellStyle name="Header2 6 2 5" xfId="1295"/>
    <cellStyle name="Header2 6 2 6" xfId="1296"/>
    <cellStyle name="Header2 6 3" xfId="1297"/>
    <cellStyle name="Header2 6 4" xfId="1298"/>
    <cellStyle name="Header2 6 5" xfId="1299"/>
    <cellStyle name="Header2 6 6" xfId="1300"/>
    <cellStyle name="Header2 6 7" xfId="1301"/>
    <cellStyle name="Header2 6_2009 Plan Projected Financials One Method" xfId="517"/>
    <cellStyle name="Header2 7" xfId="518"/>
    <cellStyle name="Header2 7 2" xfId="1302"/>
    <cellStyle name="Header2 7 3" xfId="1303"/>
    <cellStyle name="Header2 7 4" xfId="1304"/>
    <cellStyle name="Header2 7 5" xfId="1305"/>
    <cellStyle name="Header2 7 6" xfId="1306"/>
    <cellStyle name="Header2 8" xfId="1307"/>
    <cellStyle name="Header2 9" xfId="1308"/>
    <cellStyle name="Header2_2009 Plan Projected Financials One Method" xfId="519"/>
    <cellStyle name="Header3" xfId="520"/>
    <cellStyle name="Header4" xfId="521"/>
    <cellStyle name="Heading" xfId="522"/>
    <cellStyle name="Heading 1 2" xfId="523"/>
    <cellStyle name="Heading 2 2" xfId="524"/>
    <cellStyle name="Heading 3 2" xfId="525"/>
    <cellStyle name="Heading 4 2" xfId="526"/>
    <cellStyle name="heading info" xfId="527"/>
    <cellStyle name="Heading No Underline" xfId="528"/>
    <cellStyle name="Heading With Underline" xfId="529"/>
    <cellStyle name="Heading1" xfId="530"/>
    <cellStyle name="Heading2" xfId="531"/>
    <cellStyle name="HEADINGS" xfId="532"/>
    <cellStyle name="HEADINGSTOP" xfId="533"/>
    <cellStyle name="HIDDEN" xfId="534"/>
    <cellStyle name="Hyperlink 2" xfId="4181"/>
    <cellStyle name="Hyperlink 3" xfId="4182"/>
    <cellStyle name="IncomeStatement" xfId="535"/>
    <cellStyle name="Input [yellow]" xfId="537"/>
    <cellStyle name="Input 2" xfId="536"/>
    <cellStyle name="Input 3" xfId="4237"/>
    <cellStyle name="Input Currency" xfId="538"/>
    <cellStyle name="Input Date" xfId="539"/>
    <cellStyle name="Input Fixed [0]" xfId="540"/>
    <cellStyle name="Input Normal" xfId="541"/>
    <cellStyle name="Input Percent" xfId="542"/>
    <cellStyle name="Input Percent [2]" xfId="543"/>
    <cellStyle name="Input Titles" xfId="544"/>
    <cellStyle name="Input%" xfId="545"/>
    <cellStyle name="InputBlueFont" xfId="546"/>
    <cellStyle name="InputPop" xfId="547"/>
    <cellStyle name="Inputs" xfId="548"/>
    <cellStyle name="Input-Text Only" xfId="549"/>
    <cellStyle name="Integer" xfId="550"/>
    <cellStyle name="Invisible" xfId="551"/>
    <cellStyle name="Jason" xfId="552"/>
    <cellStyle name="JustOneDec" xfId="553"/>
    <cellStyle name="Komma [0]_NEGS" xfId="554"/>
    <cellStyle name="Komma_NEGS" xfId="555"/>
    <cellStyle name="Lien hypertexte_NEGS" xfId="556"/>
    <cellStyle name="LineBottom" xfId="557"/>
    <cellStyle name="LineItems" xfId="558"/>
    <cellStyle name="Lines / Dark Shade / Bold" xfId="559"/>
    <cellStyle name="Lines All" xfId="560"/>
    <cellStyle name="Lines/Lt Shade/Bold" xfId="561"/>
    <cellStyle name="LineTop" xfId="562"/>
    <cellStyle name="Link Currency (0)" xfId="563"/>
    <cellStyle name="Link Currency (2)" xfId="564"/>
    <cellStyle name="Link Units (0)" xfId="565"/>
    <cellStyle name="Link Units (1)" xfId="566"/>
    <cellStyle name="Link Units (2)" xfId="567"/>
    <cellStyle name="Linked Cell 2" xfId="568"/>
    <cellStyle name="LookUpText" xfId="569"/>
    <cellStyle name="Map Labels" xfId="570"/>
    <cellStyle name="Map Legend" xfId="571"/>
    <cellStyle name="Map Title" xfId="572"/>
    <cellStyle name="Margins" xfId="573"/>
    <cellStyle name="Miles" xfId="574"/>
    <cellStyle name="Millares [0]_laroux" xfId="575"/>
    <cellStyle name="Millares 2" xfId="4150"/>
    <cellStyle name="Millares_EFIN1299-1-SIN BONIF. junta consejo" xfId="4158"/>
    <cellStyle name="Milliers [0]_97NOVFOR" xfId="576"/>
    <cellStyle name="Milliers_97NOVFOR" xfId="577"/>
    <cellStyle name="Mills" xfId="578"/>
    <cellStyle name="MMs1Place" xfId="579"/>
    <cellStyle name="MMs2Places" xfId="580"/>
    <cellStyle name="mo" xfId="581"/>
    <cellStyle name="mo end" xfId="582"/>
    <cellStyle name="mo_~8080122" xfId="583"/>
    <cellStyle name="Model" xfId="584"/>
    <cellStyle name="Moneda [0]_CONTENCION CONDELL 25.051" xfId="585"/>
    <cellStyle name="Moneda_CONTENCION CONDELL 25.051" xfId="586"/>
    <cellStyle name="Monétaire [0]_97NOVFOR" xfId="587"/>
    <cellStyle name="Monétaire_97NOVFOR" xfId="588"/>
    <cellStyle name="MonthYear" xfId="589"/>
    <cellStyle name="Mon-Yr" xfId="590"/>
    <cellStyle name="Mult No x" xfId="591"/>
    <cellStyle name="Mult With x" xfId="592"/>
    <cellStyle name="Multiple" xfId="593"/>
    <cellStyle name="Multiple (no x)" xfId="594"/>
    <cellStyle name="Multiple (x)" xfId="595"/>
    <cellStyle name="Multiple []" xfId="596"/>
    <cellStyle name="Multiple [0]" xfId="597"/>
    <cellStyle name="Multiple [0] []" xfId="598"/>
    <cellStyle name="Multiple [1]" xfId="599"/>
    <cellStyle name="Multiple [1] []" xfId="600"/>
    <cellStyle name="Multiple_AGAM" xfId="601"/>
    <cellStyle name="MultipleBelow" xfId="602"/>
    <cellStyle name="NA is zero" xfId="603"/>
    <cellStyle name="Neutral 2" xfId="604"/>
    <cellStyle name="new" xfId="605"/>
    <cellStyle name="NewColumnHeaderNormal" xfId="606"/>
    <cellStyle name="NewSectionHeaderNormal" xfId="607"/>
    <cellStyle name="NewTitleNormal" xfId="608"/>
    <cellStyle name="No Border" xfId="609"/>
    <cellStyle name="No Border 2" xfId="610"/>
    <cellStyle name="No Border 3" xfId="611"/>
    <cellStyle name="No Border 4" xfId="612"/>
    <cellStyle name="No Border 5" xfId="613"/>
    <cellStyle name="No Border 6" xfId="614"/>
    <cellStyle name="no dec" xfId="615"/>
    <cellStyle name="nonmultiple" xfId="616"/>
    <cellStyle name="NonPrint_Heading" xfId="617"/>
    <cellStyle name="Normal" xfId="0" builtinId="0"/>
    <cellStyle name="Normal - Style1" xfId="618"/>
    <cellStyle name="Normal - Style2" xfId="619"/>
    <cellStyle name="Normal - Style3" xfId="620"/>
    <cellStyle name="Normal - Style4" xfId="621"/>
    <cellStyle name="Normal - Style5" xfId="622"/>
    <cellStyle name="Normal - Style6" xfId="623"/>
    <cellStyle name="Normal - Style7" xfId="624"/>
    <cellStyle name="Normal - Style8" xfId="625"/>
    <cellStyle name="Normal - Style8 2" xfId="2626"/>
    <cellStyle name="Normal - 유형1" xfId="626"/>
    <cellStyle name="Normal [0]" xfId="627"/>
    <cellStyle name="Normal [1]" xfId="628"/>
    <cellStyle name="Normal [2]" xfId="629"/>
    <cellStyle name="Normal [3]" xfId="630"/>
    <cellStyle name="Normal 10" xfId="631"/>
    <cellStyle name="Normal 10 2" xfId="632"/>
    <cellStyle name="Normal 10 2 2" xfId="1309"/>
    <cellStyle name="Normal 10 2 3" xfId="1310"/>
    <cellStyle name="Normal 10 2 4" xfId="1311"/>
    <cellStyle name="Normal 10 2 5" xfId="1312"/>
    <cellStyle name="Normal 10 2 6" xfId="1313"/>
    <cellStyle name="Normal 10 3" xfId="4211"/>
    <cellStyle name="Normal 10_2009 Plan Projected Financials One Method" xfId="633"/>
    <cellStyle name="Normal 11" xfId="634"/>
    <cellStyle name="Normal 11 2" xfId="635"/>
    <cellStyle name="Normal 11 2 2" xfId="1314"/>
    <cellStyle name="Normal 11 2 3" xfId="1315"/>
    <cellStyle name="Normal 11 2 4" xfId="1316"/>
    <cellStyle name="Normal 11 2 5" xfId="1317"/>
    <cellStyle name="Normal 11 2 6" xfId="1318"/>
    <cellStyle name="Normal 11 4" xfId="1319"/>
    <cellStyle name="Normal 11_2009 Plan Projected Financials One Method" xfId="636"/>
    <cellStyle name="Normal 12" xfId="637"/>
    <cellStyle name="Normal 13" xfId="638"/>
    <cellStyle name="Normal 13 2" xfId="1320"/>
    <cellStyle name="Normal 13 3" xfId="1321"/>
    <cellStyle name="Normal 13 4" xfId="1322"/>
    <cellStyle name="Normal 13 5" xfId="1323"/>
    <cellStyle name="Normal 13 6" xfId="1324"/>
    <cellStyle name="Normal 14" xfId="639"/>
    <cellStyle name="Normal 14 2" xfId="1325"/>
    <cellStyle name="Normal 14 3" xfId="1326"/>
    <cellStyle name="Normal 14 4" xfId="1327"/>
    <cellStyle name="Normal 14 5" xfId="1328"/>
    <cellStyle name="Normal 14 6" xfId="1329"/>
    <cellStyle name="Normal 15" xfId="640"/>
    <cellStyle name="Normal 15 2" xfId="641"/>
    <cellStyle name="Normal 15 2 2" xfId="1330"/>
    <cellStyle name="Normal 15 2 3" xfId="1331"/>
    <cellStyle name="Normal 15 2 4" xfId="1332"/>
    <cellStyle name="Normal 15 2 5" xfId="1333"/>
    <cellStyle name="Normal 15 2 6" xfId="1334"/>
    <cellStyle name="Normal 15 3" xfId="1335"/>
    <cellStyle name="Normal 15 4" xfId="1336"/>
    <cellStyle name="Normal 15 5" xfId="1337"/>
    <cellStyle name="Normal 15 6" xfId="1338"/>
    <cellStyle name="Normal 15 7" xfId="1339"/>
    <cellStyle name="Normal 15_2009 Plan Projected Financials One Method" xfId="642"/>
    <cellStyle name="Normal 16" xfId="643"/>
    <cellStyle name="Normal 16 2" xfId="644"/>
    <cellStyle name="Normal 16 2 2" xfId="1340"/>
    <cellStyle name="Normal 16 2 3" xfId="1341"/>
    <cellStyle name="Normal 16 2 4" xfId="1342"/>
    <cellStyle name="Normal 16 2 5" xfId="1343"/>
    <cellStyle name="Normal 16 2 6" xfId="1344"/>
    <cellStyle name="Normal 16 3" xfId="1345"/>
    <cellStyle name="Normal 16 4" xfId="1346"/>
    <cellStyle name="Normal 16 5" xfId="1347"/>
    <cellStyle name="Normal 16 6" xfId="1348"/>
    <cellStyle name="Normal 16 7" xfId="1349"/>
    <cellStyle name="Normal 17" xfId="645"/>
    <cellStyle name="Normal 17 2" xfId="646"/>
    <cellStyle name="Normal 17 2 2" xfId="1350"/>
    <cellStyle name="Normal 17 2 3" xfId="1351"/>
    <cellStyle name="Normal 17 2 4" xfId="1352"/>
    <cellStyle name="Normal 17 2 5" xfId="1353"/>
    <cellStyle name="Normal 17 2 6" xfId="1354"/>
    <cellStyle name="Normal 17 3" xfId="1355"/>
    <cellStyle name="Normal 17 4" xfId="1356"/>
    <cellStyle name="Normal 17 5" xfId="1357"/>
    <cellStyle name="Normal 17 6" xfId="1358"/>
    <cellStyle name="Normal 17 7" xfId="1359"/>
    <cellStyle name="Normal 18" xfId="647"/>
    <cellStyle name="Normal 19" xfId="648"/>
    <cellStyle name="Normal 2" xfId="649"/>
    <cellStyle name="Normal 2 10" xfId="650"/>
    <cellStyle name="Normal 2 11" xfId="651"/>
    <cellStyle name="Normal 2 12" xfId="652"/>
    <cellStyle name="Normal 2 13" xfId="1360"/>
    <cellStyle name="Normal 2 14" xfId="1361"/>
    <cellStyle name="Normal 2 15" xfId="1362"/>
    <cellStyle name="Normal 2 16" xfId="1363"/>
    <cellStyle name="Normal 2 17" xfId="1364"/>
    <cellStyle name="Normal 2 18" xfId="1365"/>
    <cellStyle name="Normal 2 19" xfId="1525"/>
    <cellStyle name="Normal 2 2" xfId="653"/>
    <cellStyle name="Normal 2 2 2" xfId="654"/>
    <cellStyle name="Normal 2 2_2009 Plan Projected Financials One Method" xfId="655"/>
    <cellStyle name="Normal 2 20" xfId="4151"/>
    <cellStyle name="Normal 2 3" xfId="656"/>
    <cellStyle name="Normal 2 3 2" xfId="657"/>
    <cellStyle name="Normal 2 3 3" xfId="658"/>
    <cellStyle name="Normal 2 3 4" xfId="659"/>
    <cellStyle name="Normal 2 3_2009 Plan Projected Financials One Method" xfId="660"/>
    <cellStyle name="Normal 2 4" xfId="661"/>
    <cellStyle name="Normal 2 4 2" xfId="4152"/>
    <cellStyle name="Normal 2 5" xfId="662"/>
    <cellStyle name="Normal 2 6" xfId="663"/>
    <cellStyle name="Normal 2 7" xfId="664"/>
    <cellStyle name="Normal 2 7 2" xfId="665"/>
    <cellStyle name="Normal 2 7 2 2" xfId="1366"/>
    <cellStyle name="Normal 2 7 2 3" xfId="1367"/>
    <cellStyle name="Normal 2 7 2 4" xfId="1368"/>
    <cellStyle name="Normal 2 7 2 5" xfId="1369"/>
    <cellStyle name="Normal 2 7 2 6" xfId="1370"/>
    <cellStyle name="Normal 2 7 3" xfId="1371"/>
    <cellStyle name="Normal 2 7 4" xfId="1372"/>
    <cellStyle name="Normal 2 7 5" xfId="1373"/>
    <cellStyle name="Normal 2 7 6" xfId="1374"/>
    <cellStyle name="Normal 2 7 7" xfId="1375"/>
    <cellStyle name="Normal 2 8" xfId="666"/>
    <cellStyle name="Normal 2 8 2" xfId="667"/>
    <cellStyle name="Normal 2 8 2 2" xfId="1376"/>
    <cellStyle name="Normal 2 8 2 3" xfId="1377"/>
    <cellStyle name="Normal 2 8 2 4" xfId="1378"/>
    <cellStyle name="Normal 2 8 2 5" xfId="1379"/>
    <cellStyle name="Normal 2 8 2 6" xfId="1380"/>
    <cellStyle name="Normal 2 8 3" xfId="1381"/>
    <cellStyle name="Normal 2 8 4" xfId="1382"/>
    <cellStyle name="Normal 2 8 5" xfId="1383"/>
    <cellStyle name="Normal 2 8 6" xfId="1384"/>
    <cellStyle name="Normal 2 8 7" xfId="1385"/>
    <cellStyle name="Normal 2 9" xfId="668"/>
    <cellStyle name="Normal 2 9 2" xfId="669"/>
    <cellStyle name="Normal 2 9 2 2" xfId="1386"/>
    <cellStyle name="Normal 2 9 2 3" xfId="1387"/>
    <cellStyle name="Normal 2 9 2 4" xfId="1388"/>
    <cellStyle name="Normal 2 9 2 5" xfId="1389"/>
    <cellStyle name="Normal 2 9 2 6" xfId="1390"/>
    <cellStyle name="Normal 2 9 3" xfId="1391"/>
    <cellStyle name="Normal 2 9 4" xfId="1392"/>
    <cellStyle name="Normal 2 9 5" xfId="1393"/>
    <cellStyle name="Normal 2 9 6" xfId="1394"/>
    <cellStyle name="Normal 2 9 7" xfId="1395"/>
    <cellStyle name="Normal 2_2009 Plan Projected Financials One Method" xfId="670"/>
    <cellStyle name="Normal 20" xfId="671"/>
    <cellStyle name="Normal 21" xfId="1156"/>
    <cellStyle name="Normal 22" xfId="1160"/>
    <cellStyle name="Normal 22 2" xfId="2620"/>
    <cellStyle name="Normal 23" xfId="1396"/>
    <cellStyle name="Normal 24" xfId="1397"/>
    <cellStyle name="Normal 25" xfId="1398"/>
    <cellStyle name="Normal 26" xfId="1522"/>
    <cellStyle name="Normal 27" xfId="1565"/>
    <cellStyle name="Normal 28" xfId="1567"/>
    <cellStyle name="Normal 29" xfId="2565"/>
    <cellStyle name="Normal 3" xfId="672"/>
    <cellStyle name="Normal 3 10" xfId="673"/>
    <cellStyle name="Normal 3 10 2" xfId="1399"/>
    <cellStyle name="Normal 3 10 3" xfId="1400"/>
    <cellStyle name="Normal 3 10 4" xfId="1401"/>
    <cellStyle name="Normal 3 10 5" xfId="1402"/>
    <cellStyle name="Normal 3 10 6" xfId="1403"/>
    <cellStyle name="Normal 3 11" xfId="1404"/>
    <cellStyle name="Normal 3 12" xfId="1405"/>
    <cellStyle name="Normal 3 13" xfId="1406"/>
    <cellStyle name="Normal 3 14" xfId="1407"/>
    <cellStyle name="Normal 3 15" xfId="2564"/>
    <cellStyle name="Normal 3 2" xfId="674"/>
    <cellStyle name="Normal 3 2 2" xfId="4217"/>
    <cellStyle name="Normal 3 3" xfId="675"/>
    <cellStyle name="Normal 3 3 2" xfId="676"/>
    <cellStyle name="Normal 3 3_2009 Plan Projected Financials One Method" xfId="677"/>
    <cellStyle name="Normal 3 4" xfId="678"/>
    <cellStyle name="Normal 3 5" xfId="679"/>
    <cellStyle name="Normal 3 5 2" xfId="2594"/>
    <cellStyle name="Normal 3 6" xfId="680"/>
    <cellStyle name="Normal 3 7" xfId="681"/>
    <cellStyle name="Normal 3 7 2" xfId="682"/>
    <cellStyle name="Normal 3 7 2 2" xfId="1408"/>
    <cellStyle name="Normal 3 7 2 3" xfId="1409"/>
    <cellStyle name="Normal 3 7 2 4" xfId="1410"/>
    <cellStyle name="Normal 3 7 2 5" xfId="1411"/>
    <cellStyle name="Normal 3 7 2 6" xfId="1412"/>
    <cellStyle name="Normal 3 7_2009 Plan Projected Financials One Method" xfId="683"/>
    <cellStyle name="Normal 3 8" xfId="684"/>
    <cellStyle name="Normal 3 8 2" xfId="685"/>
    <cellStyle name="Normal 3 8 2 2" xfId="1413"/>
    <cellStyle name="Normal 3 8 2 3" xfId="1414"/>
    <cellStyle name="Normal 3 8 2 4" xfId="1415"/>
    <cellStyle name="Normal 3 8 2 5" xfId="1416"/>
    <cellStyle name="Normal 3 8 2 6" xfId="1417"/>
    <cellStyle name="Normal 3 8 3" xfId="1418"/>
    <cellStyle name="Normal 3 8 4" xfId="1419"/>
    <cellStyle name="Normal 3 8 5" xfId="1420"/>
    <cellStyle name="Normal 3 8 6" xfId="1421"/>
    <cellStyle name="Normal 3 8 7" xfId="1422"/>
    <cellStyle name="Normal 3 9" xfId="686"/>
    <cellStyle name="Normal 3 9 2" xfId="687"/>
    <cellStyle name="Normal 3 9 2 2" xfId="1423"/>
    <cellStyle name="Normal 3 9 2 3" xfId="1424"/>
    <cellStyle name="Normal 3 9 2 4" xfId="1425"/>
    <cellStyle name="Normal 3 9 2 5" xfId="1426"/>
    <cellStyle name="Normal 3 9 2 6" xfId="1427"/>
    <cellStyle name="Normal 3 9 3" xfId="1428"/>
    <cellStyle name="Normal 3 9 4" xfId="1429"/>
    <cellStyle name="Normal 3 9 5" xfId="1430"/>
    <cellStyle name="Normal 3 9 6" xfId="1431"/>
    <cellStyle name="Normal 3 9 7" xfId="1432"/>
    <cellStyle name="Normal 3_2009 Plan Projected Financials One Method" xfId="688"/>
    <cellStyle name="Normal 30" xfId="2567"/>
    <cellStyle name="Normal 31" xfId="2583"/>
    <cellStyle name="Normal 32" xfId="2616"/>
    <cellStyle name="Normal 33" xfId="2618"/>
    <cellStyle name="Normal 34" xfId="2628"/>
    <cellStyle name="Normal 35" xfId="4157"/>
    <cellStyle name="Normal 36" xfId="4159"/>
    <cellStyle name="Normal 37" xfId="4162"/>
    <cellStyle name="Normal 38" xfId="4168"/>
    <cellStyle name="Normal 39" xfId="4176"/>
    <cellStyle name="Normal 4" xfId="689"/>
    <cellStyle name="Normal 4 2" xfId="690"/>
    <cellStyle name="Normal 4 3" xfId="691"/>
    <cellStyle name="Normal 4 4" xfId="2621"/>
    <cellStyle name="Normal 4_2009 Plan Projected Financials One Method" xfId="692"/>
    <cellStyle name="Normal 40" xfId="4"/>
    <cellStyle name="Normal 41" xfId="4216"/>
    <cellStyle name="Normal 42" xfId="4222"/>
    <cellStyle name="Normal 44" xfId="4214"/>
    <cellStyle name="Normal 5" xfId="693"/>
    <cellStyle name="Normal 5 2" xfId="694"/>
    <cellStyle name="Normal 5 2 2" xfId="695"/>
    <cellStyle name="Normal 5 2 2 2" xfId="1433"/>
    <cellStyle name="Normal 5 2 2 3" xfId="1434"/>
    <cellStyle name="Normal 5 2 2 4" xfId="1435"/>
    <cellStyle name="Normal 5 2 2 5" xfId="1436"/>
    <cellStyle name="Normal 5 2 2 6" xfId="1437"/>
    <cellStyle name="Normal 5 2 3" xfId="1438"/>
    <cellStyle name="Normal 5 2 4" xfId="1439"/>
    <cellStyle name="Normal 5 2 5" xfId="1440"/>
    <cellStyle name="Normal 5 2 6" xfId="1441"/>
    <cellStyle name="Normal 5 2 7" xfId="1442"/>
    <cellStyle name="Normal 5 3" xfId="1443"/>
    <cellStyle name="Normal 5 4" xfId="1444"/>
    <cellStyle name="Normal 5 5" xfId="1445"/>
    <cellStyle name="Normal 5 6" xfId="1446"/>
    <cellStyle name="Normal 5 7" xfId="1447"/>
    <cellStyle name="Normal 5 8" xfId="1448"/>
    <cellStyle name="Normal 5 9" xfId="4147"/>
    <cellStyle name="Normal 5_2009 Plan Projected Financials One Method" xfId="696"/>
    <cellStyle name="Normal 6" xfId="697"/>
    <cellStyle name="Normal 6 2" xfId="698"/>
    <cellStyle name="Normal 6 3" xfId="2586"/>
    <cellStyle name="Normal 6_2009 Plan Projected Financials One Method" xfId="699"/>
    <cellStyle name="Normal 7" xfId="700"/>
    <cellStyle name="Normal 7 2" xfId="701"/>
    <cellStyle name="Normal 7 2 2" xfId="1449"/>
    <cellStyle name="Normal 7 2 3" xfId="1450"/>
    <cellStyle name="Normal 7 2 4" xfId="1451"/>
    <cellStyle name="Normal 7 2 5" xfId="1452"/>
    <cellStyle name="Normal 7 2 6" xfId="1453"/>
    <cellStyle name="Normal 7 3" xfId="1454"/>
    <cellStyle name="Normal 7 4" xfId="1455"/>
    <cellStyle name="Normal 7 5" xfId="1456"/>
    <cellStyle name="Normal 7 6" xfId="1457"/>
    <cellStyle name="Normal 7 7" xfId="1458"/>
    <cellStyle name="Normal 7 8" xfId="1459"/>
    <cellStyle name="Normal 7 9" xfId="4170"/>
    <cellStyle name="Normal 8" xfId="702"/>
    <cellStyle name="Normal 9" xfId="703"/>
    <cellStyle name="Normal 9 2" xfId="2194"/>
    <cellStyle name="Normal Bold" xfId="704"/>
    <cellStyle name="Normal Number" xfId="705"/>
    <cellStyle name="Normal Pct" xfId="706"/>
    <cellStyle name="Normal1" xfId="707"/>
    <cellStyle name="Normal1Places" xfId="708"/>
    <cellStyle name="Normal2" xfId="709"/>
    <cellStyle name="Normal2Places" xfId="710"/>
    <cellStyle name="Normal3" xfId="711"/>
    <cellStyle name="Normal3Places" xfId="712"/>
    <cellStyle name="Normal4" xfId="713"/>
    <cellStyle name="Normal8" xfId="714"/>
    <cellStyle name="NormalBold" xfId="715"/>
    <cellStyle name="Normale_Pipeline Summary" xfId="716"/>
    <cellStyle name="NormalEPS" xfId="717"/>
    <cellStyle name="NormalGB" xfId="718"/>
    <cellStyle name="NormalJEM" xfId="719"/>
    <cellStyle name="NormalPop" xfId="720"/>
    <cellStyle name="Note 2" xfId="721"/>
    <cellStyle name="NPPESalesPct" xfId="722"/>
    <cellStyle name="Number" xfId="723"/>
    <cellStyle name="numbers" xfId="724"/>
    <cellStyle name="Œ…‹æØ‚è [0.00]_Capital Structure" xfId="725"/>
    <cellStyle name="Œ…‹æØ‚è_Capital Structure" xfId="726"/>
    <cellStyle name="OScommands" xfId="727"/>
    <cellStyle name="Output 2" xfId="728"/>
    <cellStyle name="Output 3" xfId="4238"/>
    <cellStyle name="Output Amounts" xfId="729"/>
    <cellStyle name="Output Column Headings" xfId="730"/>
    <cellStyle name="Output Line Items" xfId="731"/>
    <cellStyle name="Output Report Heading" xfId="732"/>
    <cellStyle name="Output Report Title" xfId="733"/>
    <cellStyle name="Outputs" xfId="734"/>
    <cellStyle name="p" xfId="735"/>
    <cellStyle name="p_DCF" xfId="736"/>
    <cellStyle name="Page Number" xfId="737"/>
    <cellStyle name="paint" xfId="738"/>
    <cellStyle name="Palatino" xfId="739"/>
    <cellStyle name="pc1" xfId="740"/>
    <cellStyle name="PE_1월" xfId="741"/>
    <cellStyle name="per.style" xfId="742"/>
    <cellStyle name="Percen - Style5" xfId="743"/>
    <cellStyle name="Percent" xfId="1" builtinId="5"/>
    <cellStyle name="Percent (0)" xfId="745"/>
    <cellStyle name="Percent [0%]" xfId="4212"/>
    <cellStyle name="Percent [0]" xfId="746"/>
    <cellStyle name="Percent [00]" xfId="747"/>
    <cellStyle name="Percent [1]" xfId="748"/>
    <cellStyle name="Percent [1][]" xfId="749"/>
    <cellStyle name="Percent [1]_Canon CapIQ linked v1" xfId="750"/>
    <cellStyle name="Percent [2]" xfId="751"/>
    <cellStyle name="Percent 10" xfId="752"/>
    <cellStyle name="Percent 11" xfId="753"/>
    <cellStyle name="Percent 12" xfId="754"/>
    <cellStyle name="Percent 12 2" xfId="755"/>
    <cellStyle name="Percent 12 2 2" xfId="1460"/>
    <cellStyle name="Percent 12 2 3" xfId="1461"/>
    <cellStyle name="Percent 12 2 4" xfId="1462"/>
    <cellStyle name="Percent 12 2 5" xfId="1463"/>
    <cellStyle name="Percent 12 2 6" xfId="1464"/>
    <cellStyle name="Percent 12 3" xfId="1465"/>
    <cellStyle name="Percent 12 4" xfId="1466"/>
    <cellStyle name="Percent 12 5" xfId="1467"/>
    <cellStyle name="Percent 12 6" xfId="1468"/>
    <cellStyle name="Percent 12 7" xfId="1469"/>
    <cellStyle name="Percent 13" xfId="756"/>
    <cellStyle name="Percent 13 2" xfId="757"/>
    <cellStyle name="Percent 13 2 2" xfId="1470"/>
    <cellStyle name="Percent 13 2 3" xfId="1471"/>
    <cellStyle name="Percent 13 2 4" xfId="1472"/>
    <cellStyle name="Percent 13 2 5" xfId="1473"/>
    <cellStyle name="Percent 13 2 6" xfId="1474"/>
    <cellStyle name="Percent 13 3" xfId="1475"/>
    <cellStyle name="Percent 13 4" xfId="1476"/>
    <cellStyle name="Percent 13 5" xfId="1477"/>
    <cellStyle name="Percent 13 6" xfId="1478"/>
    <cellStyle name="Percent 13 7" xfId="1479"/>
    <cellStyle name="Percent 14" xfId="758"/>
    <cellStyle name="Percent 14 2" xfId="759"/>
    <cellStyle name="Percent 14 2 2" xfId="1480"/>
    <cellStyle name="Percent 14 2 3" xfId="1481"/>
    <cellStyle name="Percent 14 2 4" xfId="1482"/>
    <cellStyle name="Percent 14 2 5" xfId="1483"/>
    <cellStyle name="Percent 14 2 6" xfId="1484"/>
    <cellStyle name="Percent 14 3" xfId="1485"/>
    <cellStyle name="Percent 14 4" xfId="1486"/>
    <cellStyle name="Percent 14 5" xfId="1487"/>
    <cellStyle name="Percent 14 6" xfId="1488"/>
    <cellStyle name="Percent 14 7" xfId="1489"/>
    <cellStyle name="Percent 15" xfId="760"/>
    <cellStyle name="Percent 16" xfId="1490"/>
    <cellStyle name="Percent 17" xfId="1491"/>
    <cellStyle name="Percent 18" xfId="2193"/>
    <cellStyle name="Percent 19" xfId="2595"/>
    <cellStyle name="Percent 2" xfId="761"/>
    <cellStyle name="Percent 2 10" xfId="4175"/>
    <cellStyle name="Percent 2 2" xfId="762"/>
    <cellStyle name="Percent 2 2 2" xfId="763"/>
    <cellStyle name="Percent 2 3" xfId="764"/>
    <cellStyle name="Percent 2 4" xfId="765"/>
    <cellStyle name="Percent 2 5" xfId="766"/>
    <cellStyle name="Percent 2 6" xfId="767"/>
    <cellStyle name="Percent 2 7" xfId="768"/>
    <cellStyle name="Percent 2 8" xfId="769"/>
    <cellStyle name="Percent 2 9" xfId="770"/>
    <cellStyle name="Percent 20" xfId="2619"/>
    <cellStyle name="Percent 21" xfId="2630"/>
    <cellStyle name="Percent 22" xfId="4161"/>
    <cellStyle name="Percent 23" xfId="4164"/>
    <cellStyle name="Percent 24" xfId="4165"/>
    <cellStyle name="Percent 25" xfId="744"/>
    <cellStyle name="Percent 26" xfId="4239"/>
    <cellStyle name="Percent 27" xfId="4215"/>
    <cellStyle name="Percent 3" xfId="771"/>
    <cellStyle name="Percent 3 2" xfId="772"/>
    <cellStyle name="Percent 3 3" xfId="773"/>
    <cellStyle name="Percent 3 4" xfId="774"/>
    <cellStyle name="Percent 3 5" xfId="775"/>
    <cellStyle name="Percent 3 6" xfId="776"/>
    <cellStyle name="Percent 3 6 2" xfId="1492"/>
    <cellStyle name="Percent 3 6 3" xfId="1493"/>
    <cellStyle name="Percent 3 6 4" xfId="1494"/>
    <cellStyle name="Percent 3 6 5" xfId="1495"/>
    <cellStyle name="Percent 3 6 6" xfId="1496"/>
    <cellStyle name="Percent 3 7" xfId="2587"/>
    <cellStyle name="Percent 3 8" xfId="4221"/>
    <cellStyle name="Percent 4" xfId="777"/>
    <cellStyle name="Percent 4 2" xfId="778"/>
    <cellStyle name="Percent 4 2 2" xfId="779"/>
    <cellStyle name="Percent 4 2 2 2" xfId="1497"/>
    <cellStyle name="Percent 4 2 2 3" xfId="1498"/>
    <cellStyle name="Percent 4 2 2 4" xfId="1499"/>
    <cellStyle name="Percent 4 2 2 5" xfId="1500"/>
    <cellStyle name="Percent 4 2 2 6" xfId="1501"/>
    <cellStyle name="Percent 4 2 3" xfId="1502"/>
    <cellStyle name="Percent 4 2 4" xfId="1503"/>
    <cellStyle name="Percent 4 2 5" xfId="1504"/>
    <cellStyle name="Percent 4 2 6" xfId="1505"/>
    <cellStyle name="Percent 4 2 7" xfId="1506"/>
    <cellStyle name="Percent 4 3" xfId="780"/>
    <cellStyle name="Percent 4 3 2" xfId="1507"/>
    <cellStyle name="Percent 4 3 3" xfId="1508"/>
    <cellStyle name="Percent 4 3 4" xfId="1509"/>
    <cellStyle name="Percent 4 3 5" xfId="1510"/>
    <cellStyle name="Percent 4 3 6" xfId="1511"/>
    <cellStyle name="Percent 5" xfId="781"/>
    <cellStyle name="Percent 5 2" xfId="4171"/>
    <cellStyle name="Percent 6" xfId="782"/>
    <cellStyle name="Percent 6 2" xfId="783"/>
    <cellStyle name="Percent 6 2 2" xfId="1512"/>
    <cellStyle name="Percent 6 2 3" xfId="1513"/>
    <cellStyle name="Percent 6 2 4" xfId="1514"/>
    <cellStyle name="Percent 6 2 5" xfId="1515"/>
    <cellStyle name="Percent 6 2 6" xfId="1516"/>
    <cellStyle name="Percent 6 3" xfId="1517"/>
    <cellStyle name="Percent 6 4" xfId="1518"/>
    <cellStyle name="Percent 6 5" xfId="1519"/>
    <cellStyle name="Percent 6 6" xfId="1520"/>
    <cellStyle name="Percent 6 7" xfId="1521"/>
    <cellStyle name="Percent 7" xfId="784"/>
    <cellStyle name="Percent 8" xfId="785"/>
    <cellStyle name="Percent 8 2" xfId="4185"/>
    <cellStyle name="Percent 9" xfId="786"/>
    <cellStyle name="Percent 9 2" xfId="4178"/>
    <cellStyle name="Percent Decimal" xfId="787"/>
    <cellStyle name="Percent Input" xfId="788"/>
    <cellStyle name="Percent*" xfId="789"/>
    <cellStyle name="Percent1" xfId="790"/>
    <cellStyle name="Percent2" xfId="791"/>
    <cellStyle name="PercentDash0" xfId="792"/>
    <cellStyle name="PercentSales" xfId="793"/>
    <cellStyle name="PercentText0" xfId="794"/>
    <cellStyle name="Periods" xfId="795"/>
    <cellStyle name="Porcentual 2" xfId="4149"/>
    <cellStyle name="PrePop Currency (0)" xfId="796"/>
    <cellStyle name="PrePop Currency (2)" xfId="797"/>
    <cellStyle name="PrePop Units (0)" xfId="798"/>
    <cellStyle name="PrePop Units (1)" xfId="799"/>
    <cellStyle name="PrePop Units (2)" xfId="800"/>
    <cellStyle name="Price" xfId="801"/>
    <cellStyle name="Product Title" xfId="802"/>
    <cellStyle name="Protected" xfId="803"/>
    <cellStyle name="PSChar" xfId="804"/>
    <cellStyle name="PSDate" xfId="805"/>
    <cellStyle name="PSDec" xfId="806"/>
    <cellStyle name="PSHeading" xfId="807"/>
    <cellStyle name="PSInt" xfId="808"/>
    <cellStyle name="PSSpacer" xfId="809"/>
    <cellStyle name="PwC" xfId="810"/>
    <cellStyle name="qbh_x0003__x000c_bh_x0017_&quot;blTT０_x0008__x0003__x0008_?)(일)" xfId="811"/>
    <cellStyle name="qbh_x0003__x000c_bh_x0017_&quot;blTT０_x0008__x0003__x0008_磚)(일)" xfId="812"/>
    <cellStyle name="ReadInData" xfId="813"/>
    <cellStyle name="Red font" xfId="814"/>
    <cellStyle name="regstoresfromspecstores" xfId="815"/>
    <cellStyle name="ReportNums" xfId="816"/>
    <cellStyle name="RevList" xfId="817"/>
    <cellStyle name="RISKbottomEdge" xfId="818"/>
    <cellStyle name="RISKnormLabel" xfId="819"/>
    <cellStyle name="Salomon Logo" xfId="820"/>
    <cellStyle name="SAM" xfId="821"/>
    <cellStyle name="SAPBEXaggData" xfId="822"/>
    <cellStyle name="SAPBEXaggData 2" xfId="4240"/>
    <cellStyle name="SAPBEXaggDataEmph" xfId="823"/>
    <cellStyle name="SAPBEXaggDataEmph 2" xfId="4241"/>
    <cellStyle name="SAPBEXaggItem" xfId="824"/>
    <cellStyle name="SAPBEXaggItem 2" xfId="4242"/>
    <cellStyle name="SAPBEXaggItemX" xfId="825"/>
    <cellStyle name="SAPBEXaggItemX 2" xfId="4243"/>
    <cellStyle name="SAPBEXchaText" xfId="826"/>
    <cellStyle name="SAPBEXexcBad7" xfId="827"/>
    <cellStyle name="SAPBEXexcBad7 2" xfId="4244"/>
    <cellStyle name="SAPBEXexcBad8" xfId="828"/>
    <cellStyle name="SAPBEXexcBad8 2" xfId="4245"/>
    <cellStyle name="SAPBEXexcBad9" xfId="829"/>
    <cellStyle name="SAPBEXexcBad9 2" xfId="4246"/>
    <cellStyle name="SAPBEXexcCritical4" xfId="830"/>
    <cellStyle name="SAPBEXexcCritical4 2" xfId="4247"/>
    <cellStyle name="SAPBEXexcCritical5" xfId="831"/>
    <cellStyle name="SAPBEXexcCritical5 2" xfId="4248"/>
    <cellStyle name="SAPBEXexcCritical6" xfId="832"/>
    <cellStyle name="SAPBEXexcCritical6 2" xfId="4249"/>
    <cellStyle name="SAPBEXexcGood1" xfId="833"/>
    <cellStyle name="SAPBEXexcGood1 2" xfId="4250"/>
    <cellStyle name="SAPBEXexcGood2" xfId="834"/>
    <cellStyle name="SAPBEXexcGood2 2" xfId="4251"/>
    <cellStyle name="SAPBEXexcGood3" xfId="835"/>
    <cellStyle name="SAPBEXexcGood3 2" xfId="4252"/>
    <cellStyle name="SAPBEXfilterDrill" xfId="836"/>
    <cellStyle name="SAPBEXfilterItem" xfId="837"/>
    <cellStyle name="SAPBEXfilterText" xfId="838"/>
    <cellStyle name="SAPBEXformats" xfId="839"/>
    <cellStyle name="SAPBEXformats 2" xfId="4253"/>
    <cellStyle name="SAPBEXheaderItem" xfId="840"/>
    <cellStyle name="SAPBEXheaderText" xfId="841"/>
    <cellStyle name="SAPBEXHLevel0" xfId="842"/>
    <cellStyle name="SAPBEXHLevel0 2" xfId="4254"/>
    <cellStyle name="SAPBEXHLevel0X" xfId="843"/>
    <cellStyle name="SAPBEXHLevel0X 2" xfId="4255"/>
    <cellStyle name="SAPBEXHLevel1" xfId="844"/>
    <cellStyle name="SAPBEXHLevel1 2" xfId="4256"/>
    <cellStyle name="SAPBEXHLevel1X" xfId="845"/>
    <cellStyle name="SAPBEXHLevel1X 2" xfId="4257"/>
    <cellStyle name="SAPBEXHLevel2" xfId="846"/>
    <cellStyle name="SAPBEXHLevel2 2" xfId="4258"/>
    <cellStyle name="SAPBEXHLevel2X" xfId="847"/>
    <cellStyle name="SAPBEXHLevel2X 2" xfId="4259"/>
    <cellStyle name="SAPBEXHLevel3" xfId="848"/>
    <cellStyle name="SAPBEXHLevel3 2" xfId="4260"/>
    <cellStyle name="SAPBEXHLevel3X" xfId="849"/>
    <cellStyle name="SAPBEXHLevel3X 2" xfId="4261"/>
    <cellStyle name="SAPBEXresData" xfId="850"/>
    <cellStyle name="SAPBEXresData 2" xfId="4262"/>
    <cellStyle name="SAPBEXresDataEmph" xfId="851"/>
    <cellStyle name="SAPBEXresDataEmph 2" xfId="4263"/>
    <cellStyle name="SAPBEXresItem" xfId="852"/>
    <cellStyle name="SAPBEXresItem 2" xfId="4264"/>
    <cellStyle name="SAPBEXresItemX" xfId="853"/>
    <cellStyle name="SAPBEXresItemX 2" xfId="4265"/>
    <cellStyle name="SAPBEXstdData" xfId="854"/>
    <cellStyle name="SAPBEXstdData 2" xfId="4266"/>
    <cellStyle name="SAPBEXstdDataEmph" xfId="855"/>
    <cellStyle name="SAPBEXstdDataEmph 2" xfId="4267"/>
    <cellStyle name="SAPBEXstdItem" xfId="856"/>
    <cellStyle name="SAPBEXstdItem 2" xfId="4268"/>
    <cellStyle name="SAPBEXstdItemX" xfId="857"/>
    <cellStyle name="SAPBEXstdItemX 2" xfId="4269"/>
    <cellStyle name="SAPBEXtitle" xfId="858"/>
    <cellStyle name="SAPBEXundefined" xfId="859"/>
    <cellStyle name="SAPBEXundefined 2" xfId="4270"/>
    <cellStyle name="sbt2" xfId="860"/>
    <cellStyle name="SectionHeaderNormal" xfId="861"/>
    <cellStyle name="SGD 2" xfId="862"/>
    <cellStyle name="SHADEDSTORES" xfId="863"/>
    <cellStyle name="Shares" xfId="864"/>
    <cellStyle name="sharesout" xfId="865"/>
    <cellStyle name="Sheetmult" xfId="866"/>
    <cellStyle name="ShOut" xfId="867"/>
    <cellStyle name="Shtmultx" xfId="868"/>
    <cellStyle name="Single Border" xfId="869"/>
    <cellStyle name="Single Border 2" xfId="870"/>
    <cellStyle name="Single Border 3" xfId="871"/>
    <cellStyle name="Single Border 4" xfId="872"/>
    <cellStyle name="Single Border 5" xfId="873"/>
    <cellStyle name="Single Border 6" xfId="874"/>
    <cellStyle name="Single Border_2009 Plan Projected Financials One Method" xfId="875"/>
    <cellStyle name="Single Bottom" xfId="876"/>
    <cellStyle name="Single Top" xfId="877"/>
    <cellStyle name="Single Top / Double Bottom" xfId="878"/>
    <cellStyle name="Single Top / Double Bottom 2" xfId="4272"/>
    <cellStyle name="Single Top / Single Bottom" xfId="879"/>
    <cellStyle name="Single Top / Single Bottom 2" xfId="4273"/>
    <cellStyle name="Single Top 2" xfId="4271"/>
    <cellStyle name="Size10Pt" xfId="880"/>
    <cellStyle name="Size12Pt" xfId="881"/>
    <cellStyle name="specstores" xfId="882"/>
    <cellStyle name="stage" xfId="883"/>
    <cellStyle name="Standard_1.1" xfId="884"/>
    <cellStyle name="Std Currency" xfId="885"/>
    <cellStyle name="Std Input" xfId="886"/>
    <cellStyle name="Std Number" xfId="887"/>
    <cellStyle name="Std Percent" xfId="888"/>
    <cellStyle name="Std Text" xfId="889"/>
    <cellStyle name="step" xfId="890"/>
    <cellStyle name="Strange" xfId="891"/>
    <cellStyle name="Strikethru" xfId="892"/>
    <cellStyle name="Style 1" xfId="893"/>
    <cellStyle name="Style 10" xfId="894"/>
    <cellStyle name="Style 11" xfId="895"/>
    <cellStyle name="Style 12" xfId="896"/>
    <cellStyle name="Style 13" xfId="897"/>
    <cellStyle name="Style 14" xfId="898"/>
    <cellStyle name="Style 15" xfId="899"/>
    <cellStyle name="Style 16" xfId="900"/>
    <cellStyle name="Style 17" xfId="901"/>
    <cellStyle name="Style 18" xfId="902"/>
    <cellStyle name="Style 19" xfId="903"/>
    <cellStyle name="Style 2" xfId="904"/>
    <cellStyle name="Style 20" xfId="905"/>
    <cellStyle name="Style 21" xfId="906"/>
    <cellStyle name="Style 22" xfId="907"/>
    <cellStyle name="Style 23" xfId="908"/>
    <cellStyle name="Style 24" xfId="909"/>
    <cellStyle name="Style 25" xfId="910"/>
    <cellStyle name="Style 26" xfId="911"/>
    <cellStyle name="Style 27" xfId="912"/>
    <cellStyle name="Style 28" xfId="913"/>
    <cellStyle name="Style 29" xfId="914"/>
    <cellStyle name="Style 3" xfId="915"/>
    <cellStyle name="Style 30" xfId="916"/>
    <cellStyle name="Style 31" xfId="917"/>
    <cellStyle name="Style 32" xfId="918"/>
    <cellStyle name="Style 33" xfId="919"/>
    <cellStyle name="Style 34" xfId="920"/>
    <cellStyle name="Style 35" xfId="921"/>
    <cellStyle name="Style 36" xfId="922"/>
    <cellStyle name="Style 37" xfId="923"/>
    <cellStyle name="Style 38" xfId="924"/>
    <cellStyle name="Style 39" xfId="925"/>
    <cellStyle name="Style 4" xfId="926"/>
    <cellStyle name="Style 40" xfId="927"/>
    <cellStyle name="Style 41" xfId="928"/>
    <cellStyle name="Style 42" xfId="929"/>
    <cellStyle name="Style 43" xfId="930"/>
    <cellStyle name="Style 44" xfId="931"/>
    <cellStyle name="Style 45" xfId="932"/>
    <cellStyle name="Style 46" xfId="933"/>
    <cellStyle name="Style 47" xfId="934"/>
    <cellStyle name="Style 48" xfId="935"/>
    <cellStyle name="Style 49" xfId="936"/>
    <cellStyle name="Style 5" xfId="937"/>
    <cellStyle name="Style 50" xfId="938"/>
    <cellStyle name="Style 51" xfId="939"/>
    <cellStyle name="Style 52" xfId="940"/>
    <cellStyle name="Style 53" xfId="941"/>
    <cellStyle name="Style 54" xfId="942"/>
    <cellStyle name="Style 6" xfId="943"/>
    <cellStyle name="Style 7" xfId="944"/>
    <cellStyle name="Style 71" xfId="945"/>
    <cellStyle name="Style 79" xfId="946"/>
    <cellStyle name="Style 8" xfId="947"/>
    <cellStyle name="Style 85" xfId="948"/>
    <cellStyle name="Style 9" xfId="949"/>
    <cellStyle name="Style 91" xfId="950"/>
    <cellStyle name="STYLE1" xfId="951"/>
    <cellStyle name="STYLE1 2" xfId="952"/>
    <cellStyle name="STYLE1 3" xfId="953"/>
    <cellStyle name="STYLE1 4" xfId="954"/>
    <cellStyle name="STYLE1 5" xfId="955"/>
    <cellStyle name="STYLE1 6" xfId="956"/>
    <cellStyle name="STYLE1 7" xfId="957"/>
    <cellStyle name="STYLE1_2009 Plan Projected Financials One Method" xfId="958"/>
    <cellStyle name="STYLE2" xfId="959"/>
    <cellStyle name="STYLE2 2" xfId="960"/>
    <cellStyle name="STYLE2 3" xfId="961"/>
    <cellStyle name="STYLE2 4" xfId="962"/>
    <cellStyle name="STYLE2 5" xfId="963"/>
    <cellStyle name="STYLE2 6" xfId="964"/>
    <cellStyle name="STYLE2 7" xfId="965"/>
    <cellStyle name="STYLE2_2009 Plan Projected Financials One Method" xfId="966"/>
    <cellStyle name="STYLE3" xfId="967"/>
    <cellStyle name="STYLE3 2" xfId="968"/>
    <cellStyle name="STYLE3 3" xfId="969"/>
    <cellStyle name="STYLE3 4" xfId="970"/>
    <cellStyle name="STYLE3 5" xfId="971"/>
    <cellStyle name="STYLE3 6" xfId="972"/>
    <cellStyle name="STYLE3 7" xfId="973"/>
    <cellStyle name="STYLE3_2009 Plan Projected Financials One Method" xfId="974"/>
    <cellStyle name="STYLE4" xfId="975"/>
    <cellStyle name="STYLE4 2" xfId="976"/>
    <cellStyle name="STYLE4 3" xfId="977"/>
    <cellStyle name="STYLE4 4" xfId="978"/>
    <cellStyle name="STYLE4 5" xfId="979"/>
    <cellStyle name="STYLE4 6" xfId="980"/>
    <cellStyle name="STYLE4 7" xfId="981"/>
    <cellStyle name="STYLE4_2009 Plan Projected Financials One Method" xfId="982"/>
    <cellStyle name="STYLE5" xfId="983"/>
    <cellStyle name="STYLE5 2" xfId="984"/>
    <cellStyle name="STYLE5 3" xfId="985"/>
    <cellStyle name="STYLE5 4" xfId="986"/>
    <cellStyle name="STYLE5 5" xfId="987"/>
    <cellStyle name="STYLE5 6" xfId="988"/>
    <cellStyle name="STYLE5 7" xfId="989"/>
    <cellStyle name="STYLE5_2009 Plan Projected Financials One Method" xfId="990"/>
    <cellStyle name="STYLE6" xfId="991"/>
    <cellStyle name="STYLE6 2" xfId="992"/>
    <cellStyle name="STYLE6 3" xfId="993"/>
    <cellStyle name="STYLE6 4" xfId="994"/>
    <cellStyle name="STYLE6 5" xfId="995"/>
    <cellStyle name="STYLE6 6" xfId="996"/>
    <cellStyle name="STYLE6 7" xfId="997"/>
    <cellStyle name="STYLE6_2009 Plan Projected Financials One Method" xfId="998"/>
    <cellStyle name="STYLE7" xfId="999"/>
    <cellStyle name="STYLE7 2" xfId="1000"/>
    <cellStyle name="STYLE7 3" xfId="1001"/>
    <cellStyle name="STYLE7 4" xfId="1002"/>
    <cellStyle name="STYLE7 5" xfId="1003"/>
    <cellStyle name="STYLE7 6" xfId="1004"/>
    <cellStyle name="STYLE7_2009 Plan Projected Financials One Method" xfId="1005"/>
    <cellStyle name="subhead" xfId="1006"/>
    <cellStyle name="Sub-Heading" xfId="1007"/>
    <cellStyle name="Subscribers" xfId="1008"/>
    <cellStyle name="SubScript" xfId="1009"/>
    <cellStyle name="subt1" xfId="1010"/>
    <cellStyle name="Subtotal" xfId="1011"/>
    <cellStyle name="SuperScript" xfId="1012"/>
    <cellStyle name="T０_x0008__x0003__x0008_?)(일)" xfId="1013"/>
    <cellStyle name="T０_x0008__x0003__x0008_磚)(일)" xfId="1014"/>
    <cellStyle name="Table" xfId="1015"/>
    <cellStyle name="Table Head" xfId="1016"/>
    <cellStyle name="Table Head Aligned" xfId="1017"/>
    <cellStyle name="Table Head Blue" xfId="1018"/>
    <cellStyle name="Table Head Green" xfId="1019"/>
    <cellStyle name="Table Head_Val_Sum_Graph" xfId="1020"/>
    <cellStyle name="Table Header" xfId="4183"/>
    <cellStyle name="Table Text" xfId="1021"/>
    <cellStyle name="Table Title" xfId="1022"/>
    <cellStyle name="Table Units" xfId="1023"/>
    <cellStyle name="Table Units 2" xfId="4274"/>
    <cellStyle name="Table_Canon CapIQ linked v1" xfId="1024"/>
    <cellStyle name="Test [green]" xfId="1025"/>
    <cellStyle name="Text" xfId="1026"/>
    <cellStyle name="Text 1" xfId="1027"/>
    <cellStyle name="Text Head 1" xfId="1028"/>
    <cellStyle name="Text Indent A" xfId="1029"/>
    <cellStyle name="Text Indent B" xfId="1030"/>
    <cellStyle name="Text Indent C" xfId="1031"/>
    <cellStyle name="TextBold" xfId="1032"/>
    <cellStyle name="TextDys0" xfId="1033"/>
    <cellStyle name="TextDys1" xfId="1034"/>
    <cellStyle name="TextItalic" xfId="1035"/>
    <cellStyle name="TextNormal" xfId="1036"/>
    <cellStyle name="TextNormal 2" xfId="1158"/>
    <cellStyle name="TextNormal 3" xfId="2584"/>
    <cellStyle name="TextNormal 4" xfId="2615"/>
    <cellStyle name="TextYrs0" xfId="1037"/>
    <cellStyle name="TextYrs1" xfId="1038"/>
    <cellStyle name="TFCF" xfId="1039"/>
    <cellStyle name="thenums" xfId="1040"/>
    <cellStyle name="Tickmark" xfId="1041"/>
    <cellStyle name="Title - Style1" xfId="1043"/>
    <cellStyle name="Title 2" xfId="1042"/>
    <cellStyle name="Title 3" xfId="4275"/>
    <cellStyle name="TitleII" xfId="1044"/>
    <cellStyle name="TitleNormal" xfId="1045"/>
    <cellStyle name="TopCaption" xfId="1046"/>
    <cellStyle name="Total 2" xfId="1047"/>
    <cellStyle name="Total Bold" xfId="1048"/>
    <cellStyle name="Tusental (0)_Övrigt" xfId="1049"/>
    <cellStyle name="ubordinated Debt" xfId="1050"/>
    <cellStyle name="UI Background" xfId="1051"/>
    <cellStyle name="UIScreenText" xfId="1052"/>
    <cellStyle name="underline" xfId="1053"/>
    <cellStyle name="Unprotect" xfId="1054"/>
    <cellStyle name="Validation" xfId="1055"/>
    <cellStyle name="Valuation" xfId="1056"/>
    <cellStyle name="Valuta (0)_Övrigt" xfId="1057"/>
    <cellStyle name="Valuta [0]_NEGS" xfId="1058"/>
    <cellStyle name="Valuta_NEGS" xfId="1059"/>
    <cellStyle name="Variables" xfId="1060"/>
    <cellStyle name="W?rung [0]_laroux" xfId="1061"/>
    <cellStyle name="W?rung_laroux" xfId="1062"/>
    <cellStyle name="Währung [0]_Central Install 6-up" xfId="1063"/>
    <cellStyle name="Währung_Central Install 6-up" xfId="1064"/>
    <cellStyle name="Warning Text 2" xfId="1065"/>
    <cellStyle name="White" xfId="1066"/>
    <cellStyle name="WhiteCells" xfId="1067"/>
    <cellStyle name="WingDing" xfId="1068"/>
    <cellStyle name="Wrap" xfId="1069"/>
    <cellStyle name="WrappedBold" xfId="1070"/>
    <cellStyle name="x" xfId="1071"/>
    <cellStyle name="XL3 Blue" xfId="1072"/>
    <cellStyle name="XL3 Green" xfId="1073"/>
    <cellStyle name="XL3 Orange" xfId="1074"/>
    <cellStyle name="XL3 Red" xfId="1075"/>
    <cellStyle name="XL3 Yellow" xfId="1076"/>
    <cellStyle name="xstyle" xfId="1077"/>
    <cellStyle name="Year" xfId="1078"/>
    <cellStyle name="-_x000a__x0002__x0002_?_x000a__x0012__x0002_z-_x000a_&quot;_x0002_?_x000a_2_x0002_?_x000a_B_x0002_?y [0]_laroux_2_12~3SO2" xfId="1155"/>
    <cellStyle name="값1" xfId="1079"/>
    <cellStyle name="값2" xfId="1080"/>
    <cellStyle name="고정소숫점" xfId="1081"/>
    <cellStyle name="고정출력1" xfId="1082"/>
    <cellStyle name="고정출력2" xfId="1083"/>
    <cellStyle name="괄(계정)" xfId="1084"/>
    <cellStyle name="금액" xfId="1085"/>
    <cellStyle name="기본" xfId="1086"/>
    <cellStyle name="날짜" xfId="1087"/>
    <cellStyle name="달러" xfId="1088"/>
    <cellStyle name="뒤에 오는 하이퍼링크" xfId="1089"/>
    <cellStyle name="똿떓죶Ø괻 [0.00]_NT Server " xfId="1090"/>
    <cellStyle name="똿떓죶Ø괻_NT Server " xfId="1091"/>
    <cellStyle name="똿뗦먛귟 [0.00]_PRODUCT DETAIL Q1" xfId="1092"/>
    <cellStyle name="똿뗦먛귟_PRODUCT DETAIL Q1" xfId="1093"/>
    <cellStyle name="묮뎋 [0.00]_NT Server " xfId="1094"/>
    <cellStyle name="묮뎋_NT Server " xfId="1095"/>
    <cellStyle name="믅됞 [0.00]_laroux" xfId="1096"/>
    <cellStyle name="믅됞_laroux" xfId="1097"/>
    <cellStyle name="미정" xfId="1098"/>
    <cellStyle name="백" xfId="1099"/>
    <cellStyle name="보고서" xfId="1100"/>
    <cellStyle name="뷭?_BOOKSHIP" xfId="1101"/>
    <cellStyle name="사원명무 표준" xfId="1102"/>
    <cellStyle name="새귑[0]_롤痰삠悧 " xfId="1103"/>
    <cellStyle name="새귑_롤痰삠悧 " xfId="1104"/>
    <cellStyle name="숫자(R)" xfId="1105"/>
    <cellStyle name="안건회계법인" xfId="1106"/>
    <cellStyle name="월당월 (2)" xfId="1107"/>
    <cellStyle name="일반" xfId="1108"/>
    <cellStyle name="자리수" xfId="1109"/>
    <cellStyle name="자리수0" xfId="1110"/>
    <cellStyle name="제목1" xfId="1111"/>
    <cellStyle name="좋은양식" xfId="1112"/>
    <cellStyle name="지정되지 않음" xfId="1115"/>
    <cellStyle name="출 (한장)" xfId="1116"/>
    <cellStyle name="콤" xfId="1118"/>
    <cellStyle name="콤냡?&lt;_x000f_$??:_x0009_`1_1" xfId="1119"/>
    <cellStyle name="콤마 [" xfId="1120"/>
    <cellStyle name="콤마 [0]_  종  합  " xfId="1121"/>
    <cellStyle name="콤마 [2]" xfId="1122"/>
    <cellStyle name="콤마_  종  합  " xfId="1123"/>
    <cellStyle name="통" xfId="1135"/>
    <cellStyle name="통화 [" xfId="1136"/>
    <cellStyle name="퍼센트" xfId="1137"/>
    <cellStyle name="표" xfId="1138"/>
    <cellStyle name="표10" xfId="1139"/>
    <cellStyle name="표13" xfId="1140"/>
    <cellStyle name="표준_BS(2006)" xfId="1141"/>
    <cellStyle name="합계1" xfId="1142"/>
    <cellStyle name="합산" xfId="1143"/>
    <cellStyle name="화폐기호" xfId="1144"/>
    <cellStyle name="화폐기호0" xfId="1145"/>
    <cellStyle name="一般_300mm Status Matrix" xfId="1114"/>
    <cellStyle name="千分位_Book16" xfId="1117"/>
    <cellStyle name="咬訌裝?INCOM1" xfId="1124"/>
    <cellStyle name="咬訌裝?INCOM10" xfId="1125"/>
    <cellStyle name="咬訌裝?INCOM2" xfId="1126"/>
    <cellStyle name="咬訌裝?INCOM3" xfId="1127"/>
    <cellStyle name="咬訌裝?INCOM4" xfId="1128"/>
    <cellStyle name="咬訌裝?INCOM5" xfId="1129"/>
    <cellStyle name="咬訌裝?INCOM6" xfId="1130"/>
    <cellStyle name="咬訌裝?INCOM7" xfId="1131"/>
    <cellStyle name="咬訌裝?INCOM8" xfId="1132"/>
    <cellStyle name="咬訌裝?INCOM9" xfId="1133"/>
    <cellStyle name="咬訌裝?PRIB11" xfId="1134"/>
    <cellStyle name="常规_BAL(2001)" xfId="1146"/>
    <cellStyle name="桁区切り [0.00]_2000-OIH" xfId="1147"/>
    <cellStyle name="桁区切り_2000-OIH" xfId="1148"/>
    <cellStyle name="標準_2000-OIH" xfId="1149"/>
    <cellStyle name="訶택?12월당월" xfId="1150"/>
    <cellStyle name="訶택?부문별" xfId="1151"/>
    <cellStyle name="通貨 [0.00]_2000-OIH" xfId="1152"/>
    <cellStyle name="通貨_2000-OIH" xfId="1153"/>
    <cellStyle name="隨後的超連結" xfId="1154"/>
  </cellStyles>
  <dxfs count="0"/>
  <tableStyles count="0" defaultTableStyle="TableStyleMedium2" defaultPivotStyle="PivotStyleLight16"/>
  <colors>
    <mruColors>
      <color rgb="FFB8B8B8"/>
      <color rgb="FFF2F2F2"/>
      <color rgb="FF0000FF"/>
      <color rgb="FF3949AB"/>
      <color rgb="FFDDDDDD"/>
      <color rgb="FF61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47625</xdr:rowOff>
    </xdr:to>
    <xdr:sp macro="" textlink="">
      <xdr:nvSpPr>
        <xdr:cNvPr id="12289" name="AutoShape 1" descr="File:Smartwatch-828786.jpg">
          <a:extLst>
            <a:ext uri="{FF2B5EF4-FFF2-40B4-BE49-F238E27FC236}">
              <a16:creationId xmlns:a16="http://schemas.microsoft.com/office/drawing/2014/main" id="{00000000-0008-0000-0100-00000130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47625</xdr:rowOff>
    </xdr:to>
    <xdr:sp macro="" textlink="">
      <xdr:nvSpPr>
        <xdr:cNvPr id="12290" name="AutoShape 2" descr="https://upload.wikimedia.org/wikipedia/commons/thumb/b/b0/Smartwatch-828786.jpg/800px-Smartwatch-828786.jpg">
          <a:extLst>
            <a:ext uri="{FF2B5EF4-FFF2-40B4-BE49-F238E27FC236}">
              <a16:creationId xmlns:a16="http://schemas.microsoft.com/office/drawing/2014/main" id="{00000000-0008-0000-0100-00000230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20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7457/AppData/Local/Microsoft/Windows/INetCache/Content.Outlook/8F74EEE5/BizCom%20PP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assumptions"/>
      <sheetName val="Helpful Hints"/>
      <sheetName val="Summary of assumptions"/>
      <sheetName val="Eng overview"/>
      <sheetName val="TOC"/>
      <sheetName val="Cover"/>
      <sheetName val="Summary of Values"/>
      <sheetName val="Range of Values"/>
      <sheetName val="Summary of Intangible Values"/>
      <sheetName val="Historical IS"/>
      <sheetName val="Historical BS GAAP"/>
      <sheetName val="Historical BS IFRS"/>
      <sheetName val="PFI"/>
      <sheetName val="PFI Synergy"/>
      <sheetName val="Revenue detail A"/>
      <sheetName val="Revenue detail B"/>
      <sheetName val="Inventory"/>
      <sheetName val="Trademark"/>
      <sheetName val="TM RR Support"/>
      <sheetName val="Non-compete agreement"/>
      <sheetName val="Backlog"/>
      <sheetName val="Customer Relationships - MPEEM"/>
      <sheetName val="Technology - RFR"/>
      <sheetName val="Tech RR Support"/>
      <sheetName val="Technology - MPEEM"/>
      <sheetName val="Technology - IPR&amp;D"/>
      <sheetName val="Software"/>
      <sheetName val="Workforce"/>
      <sheetName val="Contributory charges"/>
      <sheetName val="Deferred revenue"/>
      <sheetName val="WACC"/>
      <sheetName val="IRR"/>
      <sheetName val="IRR TAB Example"/>
      <sheetName val="WARA"/>
      <sheetName val="IFRS Goodwill calculation"/>
      <sheetName val="Capital Equipment"/>
      <sheetName val="Guideline descriptions"/>
      <sheetName val="Guideline Co Metrics"/>
      <sheetName val="Customer analysis"/>
      <sheetName val="Profit Split"/>
      <sheetName val="Other tools-&gt;&gt;"/>
      <sheetName val="Exhibit template"/>
      <sheetName val="WF Template"/>
      <sheetName val="IDS Template"/>
      <sheetName val="Customer contract renewal"/>
      <sheetName val="TAB extended calculation"/>
      <sheetName val="Sales attrition"/>
      <sheetName val="Customer attrition"/>
      <sheetName val="STIRevenuebyProgramCustomerResu"/>
      <sheetName val="Index"/>
      <sheetName val="Abbreviations"/>
      <sheetName val="Lead_Index"/>
      <sheetName val="Other Support --&gt;"/>
    </sheetNames>
    <sheetDataSet>
      <sheetData sheetId="0">
        <row r="37">
          <cell r="C37">
            <v>41090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5"/>
  <sheetViews>
    <sheetView zoomScale="90" zoomScaleNormal="90" workbookViewId="0"/>
  </sheetViews>
  <sheetFormatPr defaultRowHeight="13.5" customHeight="1"/>
  <cols>
    <col min="1" max="1" width="25.28515625" style="3" customWidth="1"/>
    <col min="2" max="2" width="9.140625" style="3"/>
    <col min="3" max="3" width="37.5703125" style="3" customWidth="1"/>
    <col min="4" max="16384" width="9.140625" style="3"/>
  </cols>
  <sheetData>
    <row r="1" spans="1:3" ht="12.75"/>
    <row r="2" spans="1:3" ht="23.25">
      <c r="A2" s="6" t="s">
        <v>10</v>
      </c>
    </row>
    <row r="6" spans="1:3" ht="13.5" customHeight="1">
      <c r="A6" s="4" t="s">
        <v>403</v>
      </c>
    </row>
    <row r="7" spans="1:3" ht="13.5" customHeight="1">
      <c r="A7" s="3" t="s">
        <v>11</v>
      </c>
      <c r="C7" s="7" t="s">
        <v>12</v>
      </c>
    </row>
    <row r="8" spans="1:3" ht="13.5" customHeight="1">
      <c r="A8" s="3" t="s">
        <v>13</v>
      </c>
      <c r="C8" s="3" t="s">
        <v>14</v>
      </c>
    </row>
    <row r="9" spans="1:3" ht="13.5" customHeight="1">
      <c r="A9" s="3" t="s">
        <v>15</v>
      </c>
      <c r="C9" s="8" t="s">
        <v>16</v>
      </c>
    </row>
    <row r="11" spans="1:3" ht="13.5" customHeight="1">
      <c r="A11" s="10" t="s">
        <v>17</v>
      </c>
      <c r="B11" s="11"/>
      <c r="C11" s="12" t="s">
        <v>412</v>
      </c>
    </row>
    <row r="12" spans="1:3" ht="13.5" customHeight="1">
      <c r="A12" s="10" t="s">
        <v>18</v>
      </c>
      <c r="B12" s="11"/>
      <c r="C12" s="12" t="s">
        <v>411</v>
      </c>
    </row>
    <row r="13" spans="1:3" ht="13.5" customHeight="1">
      <c r="A13" s="10" t="s">
        <v>19</v>
      </c>
      <c r="B13" s="11"/>
      <c r="C13" s="13">
        <v>43921</v>
      </c>
    </row>
    <row r="14" spans="1:3" ht="13.5" customHeight="1">
      <c r="A14" s="10" t="s">
        <v>21</v>
      </c>
      <c r="B14" s="11"/>
      <c r="C14" s="13">
        <v>43830</v>
      </c>
    </row>
    <row r="15" spans="1:3" ht="13.5" customHeight="1">
      <c r="A15" s="10" t="s">
        <v>22</v>
      </c>
      <c r="B15" s="11"/>
      <c r="C15" s="13">
        <v>43921</v>
      </c>
    </row>
    <row r="16" spans="1:3" ht="13.5" customHeight="1">
      <c r="A16" s="10" t="s">
        <v>23</v>
      </c>
      <c r="B16" s="11"/>
      <c r="C16" s="13">
        <v>44196</v>
      </c>
    </row>
    <row r="17" spans="1:3" ht="13.5" customHeight="1">
      <c r="A17" s="10" t="s">
        <v>20</v>
      </c>
      <c r="B17" s="11"/>
      <c r="C17" s="14">
        <f>YEARFRAC(C13,DATE(YEAR(C13),12,31),1)</f>
        <v>0.75136612021857918</v>
      </c>
    </row>
    <row r="18" spans="1:3" ht="13.5" customHeight="1">
      <c r="A18" s="10"/>
      <c r="B18" s="11"/>
      <c r="C18" s="14"/>
    </row>
    <row r="19" spans="1:3" ht="13.5" customHeight="1">
      <c r="A19" s="10" t="s">
        <v>24</v>
      </c>
      <c r="B19" s="11"/>
      <c r="C19" s="15">
        <v>0.21</v>
      </c>
    </row>
    <row r="20" spans="1:3" ht="13.5" customHeight="1">
      <c r="A20" s="10" t="s">
        <v>25</v>
      </c>
      <c r="B20" s="11"/>
      <c r="C20" s="15">
        <v>6.5000000000000002E-2</v>
      </c>
    </row>
    <row r="21" spans="1:3" ht="13.5" customHeight="1">
      <c r="A21" s="10" t="s">
        <v>26</v>
      </c>
      <c r="B21" s="11"/>
      <c r="C21" s="15">
        <v>0.26140000000000002</v>
      </c>
    </row>
    <row r="22" spans="1:3" ht="13.5" customHeight="1">
      <c r="A22" s="10" t="s">
        <v>27</v>
      </c>
      <c r="B22" s="11"/>
      <c r="C22" s="15">
        <v>3.5000000000000003E-2</v>
      </c>
    </row>
    <row r="24" spans="1:3" ht="13.5" customHeight="1">
      <c r="A24" s="3" t="s">
        <v>28</v>
      </c>
      <c r="C24" s="9" t="s">
        <v>29</v>
      </c>
    </row>
    <row r="25" spans="1:3" ht="13.5" customHeight="1">
      <c r="A25" s="3" t="s">
        <v>30</v>
      </c>
      <c r="C25" s="16" t="s">
        <v>31</v>
      </c>
    </row>
    <row r="26" spans="1:3" ht="13.5" customHeight="1">
      <c r="A26" s="3" t="s">
        <v>32</v>
      </c>
      <c r="C26" s="16" t="s">
        <v>33</v>
      </c>
    </row>
    <row r="28" spans="1:3" ht="13.5" customHeight="1">
      <c r="A28" s="3" t="s">
        <v>83</v>
      </c>
      <c r="C28" s="51" t="s">
        <v>90</v>
      </c>
    </row>
    <row r="29" spans="1:3" ht="13.5" customHeight="1">
      <c r="A29" s="4" t="s">
        <v>84</v>
      </c>
      <c r="C29" s="51"/>
    </row>
    <row r="30" spans="1:3" ht="13.5" customHeight="1">
      <c r="A30" s="3" t="s">
        <v>85</v>
      </c>
      <c r="C30" s="51" t="s">
        <v>91</v>
      </c>
    </row>
    <row r="31" spans="1:3" ht="13.5" customHeight="1">
      <c r="A31" s="3" t="s">
        <v>86</v>
      </c>
      <c r="C31" s="51" t="s">
        <v>92</v>
      </c>
    </row>
    <row r="32" spans="1:3" ht="13.5" customHeight="1">
      <c r="A32" s="472" t="s">
        <v>395</v>
      </c>
      <c r="C32" s="512">
        <v>3</v>
      </c>
    </row>
    <row r="33" spans="1:3" ht="13.5" customHeight="1">
      <c r="A33" s="472" t="s">
        <v>396</v>
      </c>
      <c r="C33" s="513">
        <v>3.5</v>
      </c>
    </row>
    <row r="34" spans="1:3" ht="13.5" customHeight="1">
      <c r="A34" s="4" t="s">
        <v>401</v>
      </c>
      <c r="C34" s="513"/>
    </row>
    <row r="35" spans="1:3" ht="13.5" customHeight="1">
      <c r="A35" s="3" t="s">
        <v>402</v>
      </c>
      <c r="C35" s="52">
        <v>3.5000000000000003E-2</v>
      </c>
    </row>
    <row r="36" spans="1:3" ht="13.5" customHeight="1">
      <c r="A36" s="3" t="s">
        <v>87</v>
      </c>
      <c r="C36" s="52">
        <v>0.15</v>
      </c>
    </row>
    <row r="37" spans="1:3" ht="13.5" customHeight="1">
      <c r="A37" s="3" t="s">
        <v>88</v>
      </c>
      <c r="C37" s="52">
        <v>0.03</v>
      </c>
    </row>
    <row r="38" spans="1:3" ht="13.5" customHeight="1">
      <c r="A38" s="3" t="s">
        <v>89</v>
      </c>
      <c r="C38" s="514">
        <f>WACC!J11</f>
        <v>1.2200000000000001E-2</v>
      </c>
    </row>
    <row r="39" spans="1:3" ht="13.5" customHeight="1">
      <c r="A39" s="3" t="s">
        <v>41</v>
      </c>
      <c r="C39" s="514">
        <f>CAC!E44</f>
        <v>6.7794074499907389E-2</v>
      </c>
    </row>
    <row r="40" spans="1:3" ht="13.5" customHeight="1">
      <c r="A40" s="4" t="s">
        <v>397</v>
      </c>
    </row>
    <row r="41" spans="1:3" ht="13.5" customHeight="1">
      <c r="A41" s="472" t="s">
        <v>398</v>
      </c>
      <c r="C41" s="52">
        <v>0.02</v>
      </c>
    </row>
    <row r="42" spans="1:3" ht="13.5" customHeight="1">
      <c r="A42" s="472" t="s">
        <v>86</v>
      </c>
      <c r="C42" s="52">
        <v>0</v>
      </c>
    </row>
    <row r="43" spans="1:3" ht="13.5" customHeight="1">
      <c r="A43" s="4" t="s">
        <v>399</v>
      </c>
    </row>
    <row r="44" spans="1:3" ht="13.5" customHeight="1">
      <c r="A44" s="472" t="s">
        <v>395</v>
      </c>
      <c r="C44" s="515">
        <f>'Non-Compete Agreement_A'!$F$10</f>
        <v>-0.09</v>
      </c>
    </row>
    <row r="45" spans="1:3" ht="13.5" customHeight="1">
      <c r="A45" s="472" t="s">
        <v>396</v>
      </c>
      <c r="C45" s="515">
        <f>'Non-Compete Agreement_B'!$F$10</f>
        <v>-0.12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Q24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2.5703125" customWidth="1"/>
    <col min="4" max="4" width="13.28515625" customWidth="1"/>
    <col min="5" max="5" width="1.7109375" customWidth="1"/>
    <col min="6" max="6" width="13.28515625" customWidth="1"/>
    <col min="7" max="7" width="1.7109375" customWidth="1"/>
    <col min="8" max="8" width="13.28515625" customWidth="1"/>
    <col min="9" max="9" width="1.7109375" customWidth="1"/>
    <col min="10" max="10" width="13.28515625" customWidth="1"/>
    <col min="11" max="11" width="1.7109375" customWidth="1"/>
    <col min="12" max="12" width="10.42578125" customWidth="1"/>
    <col min="13" max="13" width="1.7109375" customWidth="1"/>
    <col min="14" max="14" width="16.140625" customWidth="1"/>
    <col min="15" max="15" width="2.7109375" customWidth="1"/>
  </cols>
  <sheetData>
    <row r="1" spans="2:17" ht="15.75">
      <c r="B1" s="18" t="str">
        <f>Acq_name</f>
        <v>[Acq.Co. Holdings Ltd.]</v>
      </c>
      <c r="N1" s="34" t="str">
        <f>"Exhibit: "&amp;INDEX(TOC!$B$5:$E$34,MATCH($B$3,TOC!$E$5:$E$36,0),COLUMNS(TOC!I5))&amp;P1</f>
        <v>Exhibit: D</v>
      </c>
    </row>
    <row r="2" spans="2:17">
      <c r="B2" s="19" t="str">
        <f>Targ_name</f>
        <v>[ABC Corporation]</v>
      </c>
    </row>
    <row r="3" spans="2:17">
      <c r="B3" s="20" t="str">
        <f>TOC!E12</f>
        <v>Beta Calculation</v>
      </c>
    </row>
    <row r="4" spans="2:17">
      <c r="B4" s="25" t="str">
        <f>"Valuation as of "&amp;TEXT(Val_date,"DD MMMM YYYY")</f>
        <v>Valuation as of 31 March 2020</v>
      </c>
    </row>
    <row r="5" spans="2:17">
      <c r="B5" s="27" t="str">
        <f>'Key Inputs and Assumptions'!C24</f>
        <v>(in USD ‘000s unless specified otherwise)</v>
      </c>
    </row>
    <row r="6" spans="2:17" ht="15.75" thickBo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2:17" ht="32.25" customHeight="1">
      <c r="B7" s="333" t="s">
        <v>244</v>
      </c>
      <c r="C7" s="346"/>
      <c r="D7" s="334" t="s">
        <v>245</v>
      </c>
      <c r="E7" s="346"/>
      <c r="F7" s="346" t="s">
        <v>246</v>
      </c>
      <c r="G7" s="346"/>
      <c r="H7" s="346" t="s">
        <v>247</v>
      </c>
      <c r="I7" s="346"/>
      <c r="J7" s="346" t="s">
        <v>248</v>
      </c>
      <c r="K7" s="346"/>
      <c r="L7" s="346" t="s">
        <v>249</v>
      </c>
      <c r="M7" s="346"/>
      <c r="N7" s="321" t="s">
        <v>250</v>
      </c>
      <c r="O7" s="77"/>
      <c r="P7" s="77"/>
      <c r="Q7" s="77"/>
    </row>
    <row r="8" spans="2:17">
      <c r="B8" s="347"/>
      <c r="C8" s="348"/>
      <c r="D8" s="349"/>
      <c r="E8" s="350"/>
      <c r="F8" s="348"/>
      <c r="G8" s="348"/>
      <c r="H8" s="348"/>
      <c r="I8" s="348"/>
      <c r="J8" s="348"/>
      <c r="K8" s="348"/>
      <c r="L8" s="348"/>
      <c r="M8" s="348"/>
      <c r="N8" s="351"/>
      <c r="O8" s="77"/>
      <c r="P8" s="77"/>
      <c r="Q8" s="77"/>
    </row>
    <row r="9" spans="2:17">
      <c r="B9" s="347" t="s">
        <v>358</v>
      </c>
      <c r="C9" s="348"/>
      <c r="D9" s="352">
        <v>1.19</v>
      </c>
      <c r="E9" s="350"/>
      <c r="F9" s="353">
        <v>2570.8000000000002</v>
      </c>
      <c r="G9" s="348"/>
      <c r="H9" s="350">
        <v>12119.7</v>
      </c>
      <c r="I9" s="354"/>
      <c r="J9" s="355">
        <f t="shared" ref="J9:J14" si="0">IF($B9&lt;&gt;"",IF(ISERROR(F9/H9),"n/a",F9/H9)," ")</f>
        <v>0.21211746165334125</v>
      </c>
      <c r="K9" s="354"/>
      <c r="L9" s="356">
        <v>0.26140000000000002</v>
      </c>
      <c r="M9" s="354"/>
      <c r="N9" s="357">
        <f t="shared" ref="N9:N14" si="1">IF($B9&lt;&gt;"",IF(ISERROR(ROUND(D9/(1+J9*(1-L9)),2)),"n/a",ROUND(D9/(1+J9*(1-L9)),2))," ")</f>
        <v>1.03</v>
      </c>
      <c r="O9" s="77"/>
      <c r="P9" s="77"/>
      <c r="Q9" s="77"/>
    </row>
    <row r="10" spans="2:17">
      <c r="B10" s="347" t="s">
        <v>359</v>
      </c>
      <c r="C10" s="348"/>
      <c r="D10" s="358">
        <v>1.02</v>
      </c>
      <c r="E10" s="350"/>
      <c r="F10" s="353">
        <v>516.5</v>
      </c>
      <c r="G10" s="348"/>
      <c r="H10" s="350">
        <v>7343</v>
      </c>
      <c r="I10" s="348"/>
      <c r="J10" s="355">
        <f t="shared" si="0"/>
        <v>7.0339098461119437E-2</v>
      </c>
      <c r="K10" s="348"/>
      <c r="L10" s="356">
        <v>0.26140000000000002</v>
      </c>
      <c r="M10" s="348"/>
      <c r="N10" s="359">
        <f t="shared" si="1"/>
        <v>0.97</v>
      </c>
      <c r="O10" s="77"/>
      <c r="P10" s="77"/>
      <c r="Q10" s="77"/>
    </row>
    <row r="11" spans="2:17">
      <c r="B11" s="347" t="s">
        <v>360</v>
      </c>
      <c r="C11" s="348"/>
      <c r="D11" s="358">
        <v>0.95</v>
      </c>
      <c r="E11" s="348"/>
      <c r="F11" s="353">
        <v>1071.8</v>
      </c>
      <c r="G11" s="348"/>
      <c r="H11" s="350">
        <v>4662.1000000000004</v>
      </c>
      <c r="I11" s="360"/>
      <c r="J11" s="361">
        <f t="shared" si="0"/>
        <v>0.22989639861864822</v>
      </c>
      <c r="K11" s="360"/>
      <c r="L11" s="356">
        <v>0.26140000000000002</v>
      </c>
      <c r="M11" s="360"/>
      <c r="N11" s="359">
        <f t="shared" si="1"/>
        <v>0.81</v>
      </c>
      <c r="O11" s="77"/>
      <c r="P11" s="77"/>
      <c r="Q11" s="77"/>
    </row>
    <row r="12" spans="2:17">
      <c r="B12" s="347" t="s">
        <v>361</v>
      </c>
      <c r="C12" s="348"/>
      <c r="D12" s="358">
        <v>1.2</v>
      </c>
      <c r="E12" s="348"/>
      <c r="F12" s="353">
        <v>1177</v>
      </c>
      <c r="G12" s="348"/>
      <c r="H12" s="350">
        <v>2320</v>
      </c>
      <c r="I12" s="348"/>
      <c r="J12" s="355">
        <f t="shared" si="0"/>
        <v>0.50732758620689655</v>
      </c>
      <c r="K12" s="348"/>
      <c r="L12" s="356">
        <v>0.26140000000000002</v>
      </c>
      <c r="M12" s="348"/>
      <c r="N12" s="359">
        <f t="shared" si="1"/>
        <v>0.87</v>
      </c>
      <c r="O12" s="77"/>
      <c r="P12" s="77"/>
      <c r="Q12" s="77"/>
    </row>
    <row r="13" spans="2:17">
      <c r="B13" s="347" t="s">
        <v>362</v>
      </c>
      <c r="C13" s="362"/>
      <c r="D13" s="363">
        <v>1.05</v>
      </c>
      <c r="E13" s="362"/>
      <c r="F13" s="353">
        <v>688</v>
      </c>
      <c r="G13" s="348"/>
      <c r="H13" s="350">
        <v>3441.7</v>
      </c>
      <c r="I13" s="348"/>
      <c r="J13" s="355">
        <f t="shared" si="0"/>
        <v>0.19990121161054131</v>
      </c>
      <c r="K13" s="348"/>
      <c r="L13" s="356">
        <v>0.26140000000000002</v>
      </c>
      <c r="M13" s="348"/>
      <c r="N13" s="364">
        <f t="shared" si="1"/>
        <v>0.91</v>
      </c>
      <c r="O13" s="77"/>
      <c r="P13" s="77"/>
      <c r="Q13" s="77"/>
    </row>
    <row r="14" spans="2:17">
      <c r="B14" s="347" t="s">
        <v>363</v>
      </c>
      <c r="C14" s="348"/>
      <c r="D14" s="358">
        <v>0.9</v>
      </c>
      <c r="E14" s="365"/>
      <c r="F14" s="350">
        <v>960</v>
      </c>
      <c r="G14" s="348"/>
      <c r="H14" s="350">
        <v>2232.8000000000002</v>
      </c>
      <c r="I14" s="348"/>
      <c r="J14" s="355">
        <f t="shared" si="0"/>
        <v>0.42995342171264778</v>
      </c>
      <c r="K14" s="348"/>
      <c r="L14" s="356">
        <v>0.26140000000000002</v>
      </c>
      <c r="M14" s="348"/>
      <c r="N14" s="359">
        <f t="shared" si="1"/>
        <v>0.68</v>
      </c>
      <c r="O14" s="77"/>
      <c r="P14" s="77"/>
      <c r="Q14" s="77"/>
    </row>
    <row r="15" spans="2:17">
      <c r="B15" s="347"/>
      <c r="C15" s="348"/>
      <c r="D15" s="358"/>
      <c r="E15" s="365"/>
      <c r="F15" s="350"/>
      <c r="G15" s="348"/>
      <c r="H15" s="350"/>
      <c r="I15" s="348"/>
      <c r="J15" s="355"/>
      <c r="K15" s="348"/>
      <c r="L15" s="356"/>
      <c r="M15" s="348"/>
      <c r="N15" s="359"/>
      <c r="O15" s="77"/>
      <c r="P15" s="77"/>
      <c r="Q15" s="73"/>
    </row>
    <row r="16" spans="2:17">
      <c r="B16" s="366" t="s">
        <v>251</v>
      </c>
      <c r="C16" s="348"/>
      <c r="D16" s="348"/>
      <c r="E16" s="365"/>
      <c r="F16" s="348"/>
      <c r="G16" s="348"/>
      <c r="H16" s="367"/>
      <c r="I16" s="354"/>
      <c r="J16" s="355">
        <f>IFERROR(AVERAGE(J9:J14),"n/a")</f>
        <v>0.27492252971053244</v>
      </c>
      <c r="K16" s="354"/>
      <c r="L16" s="354"/>
      <c r="M16" s="354"/>
      <c r="N16" s="368">
        <f>IFERROR(AVERAGE(N9:N14),"n/a")</f>
        <v>0.8783333333333333</v>
      </c>
      <c r="O16" s="77"/>
      <c r="P16" s="77"/>
      <c r="Q16" s="77"/>
    </row>
    <row r="17" spans="2:17" ht="15.75" thickBot="1">
      <c r="B17" s="369" t="s">
        <v>252</v>
      </c>
      <c r="C17" s="370"/>
      <c r="D17" s="370"/>
      <c r="E17" s="371"/>
      <c r="F17" s="372"/>
      <c r="G17" s="370"/>
      <c r="H17" s="370"/>
      <c r="I17" s="370"/>
      <c r="J17" s="460">
        <f>IFERROR(MEDIAN(J9:J14),"n/a")</f>
        <v>0.22100693013599473</v>
      </c>
      <c r="K17" s="370"/>
      <c r="L17" s="370"/>
      <c r="M17" s="370"/>
      <c r="N17" s="373">
        <f>IFERROR(MEDIAN(N9:N14),"n/a")</f>
        <v>0.89</v>
      </c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 ht="15.75" thickBot="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 ht="15.75" thickBot="1">
      <c r="B20" s="75"/>
      <c r="C20" s="75"/>
      <c r="D20" s="76"/>
      <c r="E20" s="75"/>
      <c r="F20" s="77"/>
      <c r="G20" s="75"/>
      <c r="H20" s="77"/>
      <c r="I20" s="77"/>
      <c r="J20" s="374" t="s">
        <v>253</v>
      </c>
      <c r="K20" s="375"/>
      <c r="L20" s="375"/>
      <c r="M20" s="375"/>
      <c r="N20" s="376">
        <v>0.89</v>
      </c>
      <c r="O20" s="77"/>
      <c r="P20" s="77"/>
      <c r="Q20" s="77"/>
    </row>
    <row r="21" spans="2:17">
      <c r="B21" s="77"/>
      <c r="C21" s="77"/>
      <c r="D21" s="77"/>
      <c r="E21" s="74"/>
      <c r="F21" s="77"/>
      <c r="G21" s="74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4"/>
      <c r="F22" s="77"/>
      <c r="G22" s="74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9"/>
      <c r="C23" s="79"/>
      <c r="D23" s="79"/>
      <c r="E23" s="79"/>
      <c r="F23" s="79"/>
      <c r="G23" s="80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9"/>
      <c r="C24" s="79"/>
      <c r="D24" s="79"/>
      <c r="E24" s="79"/>
      <c r="F24" s="79"/>
      <c r="G24" s="80"/>
      <c r="H24" s="77"/>
      <c r="I24" s="77"/>
      <c r="J24" s="77"/>
      <c r="K24" s="77"/>
      <c r="L24" s="77"/>
      <c r="M24" s="77"/>
      <c r="N24" s="77"/>
      <c r="O24" s="77"/>
      <c r="P24" s="77"/>
      <c r="Q24" s="77"/>
    </row>
  </sheetData>
  <phoneticPr fontId="34" type="noConversion"/>
  <pageMargins left="0.5" right="0.5" top="0.5" bottom="0.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52"/>
  <sheetViews>
    <sheetView showGridLines="0" view="pageBreakPreview" zoomScale="80" zoomScaleNormal="100" zoomScaleSheetLayoutView="80" workbookViewId="0"/>
  </sheetViews>
  <sheetFormatPr defaultRowHeight="15" outlineLevelRow="1"/>
  <cols>
    <col min="1" max="1" width="3.5703125" customWidth="1"/>
    <col min="2" max="4" width="8.28515625" customWidth="1"/>
    <col min="5" max="5" width="7" customWidth="1"/>
    <col min="6" max="6" width="7.42578125" customWidth="1"/>
    <col min="7" max="14" width="10.140625" customWidth="1"/>
    <col min="15" max="15" width="2.7109375" customWidth="1"/>
    <col min="18" max="18" width="17.28515625" customWidth="1"/>
  </cols>
  <sheetData>
    <row r="1" spans="2:19 16384:16384" ht="15.75">
      <c r="B1" s="18" t="str">
        <f>Acq_name</f>
        <v>[Acq.Co. Holdings Ltd.]</v>
      </c>
      <c r="N1" s="34" t="str">
        <f>"Exhibit: "&amp;INDEX(TOC!$B$5:$E$34,MATCH($B$3,TOC!$E$5:$E$36,0),COLUMNS(TOC!I5))&amp;P1</f>
        <v>Exhibit: E</v>
      </c>
    </row>
    <row r="2" spans="2:19 16384:16384">
      <c r="B2" s="19" t="str">
        <f>Targ_name</f>
        <v>[ABC Corporation]</v>
      </c>
    </row>
    <row r="3" spans="2:19 16384:16384">
      <c r="B3" s="20" t="str">
        <f>TOC!E13</f>
        <v>Internal Rate of Return</v>
      </c>
    </row>
    <row r="4" spans="2:19 16384:16384">
      <c r="B4" s="25" t="str">
        <f>"Valuation as of "&amp;TEXT(Val_date,"DD MMMM YYYY")</f>
        <v>Valuation as of 31 March 2020</v>
      </c>
    </row>
    <row r="5" spans="2:19 16384:16384">
      <c r="B5" s="27" t="str">
        <f>'Key Inputs and Assumptions'!C24</f>
        <v>(in USD ‘000s unless specified otherwise)</v>
      </c>
    </row>
    <row r="6" spans="2:19 16384:16384" ht="15.75" thickBot="1"/>
    <row r="7" spans="2:19 16384:16384" ht="27.95" customHeight="1">
      <c r="B7" s="767"/>
      <c r="C7" s="768"/>
      <c r="D7" s="768"/>
      <c r="E7" s="768"/>
      <c r="F7" s="768"/>
      <c r="G7" s="247" t="s">
        <v>130</v>
      </c>
      <c r="H7" s="769" t="s">
        <v>0</v>
      </c>
      <c r="I7" s="769"/>
      <c r="J7" s="769"/>
      <c r="K7" s="769"/>
      <c r="L7" s="769"/>
      <c r="M7" s="769"/>
      <c r="N7" s="248" t="s">
        <v>131</v>
      </c>
    </row>
    <row r="8" spans="2:19 16384:16384">
      <c r="B8" s="234"/>
      <c r="C8" s="235"/>
      <c r="D8" s="235"/>
      <c r="E8" s="236"/>
      <c r="F8" s="237"/>
      <c r="G8" s="238">
        <f>'Key Inputs and Assumptions'!$C$16</f>
        <v>44196</v>
      </c>
      <c r="H8" s="238">
        <f>EOMONTH(G8,12)</f>
        <v>44561</v>
      </c>
      <c r="I8" s="238">
        <f t="shared" ref="I8:M8" si="0">EOMONTH(H8,12)</f>
        <v>44926</v>
      </c>
      <c r="J8" s="238">
        <f t="shared" si="0"/>
        <v>45291</v>
      </c>
      <c r="K8" s="238">
        <f t="shared" si="0"/>
        <v>45657</v>
      </c>
      <c r="L8" s="238">
        <f t="shared" si="0"/>
        <v>46022</v>
      </c>
      <c r="M8" s="238">
        <f t="shared" si="0"/>
        <v>46387</v>
      </c>
      <c r="N8" s="239"/>
    </row>
    <row r="9" spans="2:19 16384:16384">
      <c r="B9" s="119" t="s">
        <v>1</v>
      </c>
      <c r="C9" s="120"/>
      <c r="D9" s="33"/>
      <c r="E9" s="33"/>
      <c r="F9" s="33"/>
      <c r="G9" s="121">
        <f>PFI!D13</f>
        <v>24894.522170329663</v>
      </c>
      <c r="H9" s="121">
        <f>PFI!E13</f>
        <v>34895.194225450541</v>
      </c>
      <c r="I9" s="121">
        <f>PFI!F13</f>
        <v>37103.761728249228</v>
      </c>
      <c r="J9" s="121">
        <f>PFI!G13</f>
        <v>39703.361320061165</v>
      </c>
      <c r="K9" s="121">
        <f>PFI!H13</f>
        <v>42492.493811895663</v>
      </c>
      <c r="L9" s="121">
        <f>PFI!I13</f>
        <v>44617.118502490448</v>
      </c>
      <c r="M9" s="121">
        <f>PFI!J13</f>
        <v>45955.632057565163</v>
      </c>
      <c r="N9" s="122">
        <f>M9*(1+LTGR)</f>
        <v>47334.301019292121</v>
      </c>
    </row>
    <row r="10" spans="2:19 16384:16384">
      <c r="B10" s="119" t="s">
        <v>114</v>
      </c>
      <c r="C10" s="120"/>
      <c r="D10" s="33"/>
      <c r="E10" s="33"/>
      <c r="F10" s="33"/>
      <c r="G10" s="521">
        <f>PFI!D14</f>
        <v>-2987.3426604395595</v>
      </c>
      <c r="H10" s="521">
        <f>PFI!E14</f>
        <v>-4187.4233070540649</v>
      </c>
      <c r="I10" s="521">
        <f>PFI!F14</f>
        <v>-4452.4514073899072</v>
      </c>
      <c r="J10" s="521">
        <f>PFI!G14</f>
        <v>-4764.4033584073395</v>
      </c>
      <c r="K10" s="521">
        <f>PFI!H14</f>
        <v>-5099.0992574274796</v>
      </c>
      <c r="L10" s="521">
        <f>PFI!I14</f>
        <v>-5354.0542202988536</v>
      </c>
      <c r="M10" s="521">
        <f>PFI!J14</f>
        <v>-5514.6758469078195</v>
      </c>
      <c r="N10" s="522">
        <f>M10*$N$9/$M$9</f>
        <v>-5680.1161223150539</v>
      </c>
      <c r="XFD10" s="1"/>
    </row>
    <row r="11" spans="2:19 16384:16384">
      <c r="B11" s="215" t="s">
        <v>63</v>
      </c>
      <c r="C11" s="240"/>
      <c r="D11" s="171"/>
      <c r="E11" s="171"/>
      <c r="F11" s="171"/>
      <c r="G11" s="241">
        <f>SUM(G9:G10)</f>
        <v>21907.179509890102</v>
      </c>
      <c r="H11" s="241">
        <f t="shared" ref="H11:N11" si="1">SUM(H9:H10)</f>
        <v>30707.770918396476</v>
      </c>
      <c r="I11" s="241">
        <f t="shared" si="1"/>
        <v>32651.31032085932</v>
      </c>
      <c r="J11" s="241">
        <f t="shared" si="1"/>
        <v>34938.957961653825</v>
      </c>
      <c r="K11" s="241">
        <f t="shared" si="1"/>
        <v>37393.394554468185</v>
      </c>
      <c r="L11" s="241">
        <f t="shared" si="1"/>
        <v>39263.064282191597</v>
      </c>
      <c r="M11" s="241">
        <f t="shared" si="1"/>
        <v>40440.956210657343</v>
      </c>
      <c r="N11" s="242">
        <f t="shared" si="1"/>
        <v>41654.184896977065</v>
      </c>
    </row>
    <row r="12" spans="2:19 16384:16384">
      <c r="B12" s="119" t="s">
        <v>64</v>
      </c>
      <c r="C12" s="120"/>
      <c r="D12" s="33"/>
      <c r="E12" s="33"/>
      <c r="F12" s="33"/>
      <c r="G12" s="521">
        <f>PFI!D21</f>
        <v>-11202.534976648349</v>
      </c>
      <c r="H12" s="521">
        <f>PFI!E21</f>
        <v>-15702.837401452744</v>
      </c>
      <c r="I12" s="521">
        <f>PFI!F21</f>
        <v>-16696.692777712153</v>
      </c>
      <c r="J12" s="521">
        <f>PFI!G21</f>
        <v>-17866.512594027525</v>
      </c>
      <c r="K12" s="521">
        <f>PFI!H21</f>
        <v>-19121.622215353047</v>
      </c>
      <c r="L12" s="521">
        <f>PFI!I21</f>
        <v>-20077.703326120703</v>
      </c>
      <c r="M12" s="521">
        <f>PFI!J21</f>
        <v>-20680.034425904323</v>
      </c>
      <c r="N12" s="522">
        <f>M12*$N$9/$M$9</f>
        <v>-21300.435458681455</v>
      </c>
    </row>
    <row r="13" spans="2:19 16384:16384">
      <c r="B13" s="215" t="s">
        <v>65</v>
      </c>
      <c r="C13" s="240"/>
      <c r="D13" s="171"/>
      <c r="E13" s="171"/>
      <c r="F13" s="171"/>
      <c r="G13" s="241">
        <f t="shared" ref="G13:N13" si="2">SUM(G11:G12)</f>
        <v>10704.644533241753</v>
      </c>
      <c r="H13" s="241">
        <f t="shared" si="2"/>
        <v>15004.933516943733</v>
      </c>
      <c r="I13" s="241">
        <f t="shared" si="2"/>
        <v>15954.617543147167</v>
      </c>
      <c r="J13" s="241">
        <f t="shared" si="2"/>
        <v>17072.4453676263</v>
      </c>
      <c r="K13" s="241">
        <f t="shared" si="2"/>
        <v>18271.772339115138</v>
      </c>
      <c r="L13" s="241">
        <f t="shared" si="2"/>
        <v>19185.360956070894</v>
      </c>
      <c r="M13" s="241">
        <f t="shared" si="2"/>
        <v>19760.92178475302</v>
      </c>
      <c r="N13" s="242">
        <f t="shared" si="2"/>
        <v>20353.74943829561</v>
      </c>
    </row>
    <row r="14" spans="2:19 16384:16384" ht="2.1" customHeight="1">
      <c r="B14" s="243"/>
      <c r="C14" s="33"/>
      <c r="D14" s="33"/>
      <c r="E14" s="244"/>
      <c r="F14" s="244"/>
      <c r="G14" s="121"/>
      <c r="H14" s="121"/>
      <c r="I14" s="121"/>
      <c r="J14" s="121"/>
      <c r="K14" s="121"/>
      <c r="L14" s="121"/>
      <c r="M14" s="121"/>
      <c r="N14" s="122"/>
      <c r="Q14" t="s">
        <v>105</v>
      </c>
      <c r="S14">
        <v>15</v>
      </c>
    </row>
    <row r="15" spans="2:19 16384:16384">
      <c r="B15" s="245" t="s">
        <v>108</v>
      </c>
      <c r="C15" s="33"/>
      <c r="D15" s="33"/>
      <c r="E15" s="244"/>
      <c r="F15" s="244"/>
      <c r="G15" s="521">
        <f>PFI!D24+PFI!D25</f>
        <v>-746.83566510988987</v>
      </c>
      <c r="H15" s="521">
        <f>PFI!E24+PFI!E25</f>
        <v>-1046.8558267635162</v>
      </c>
      <c r="I15" s="521">
        <f>PFI!F24+PFI!F25</f>
        <v>-1113.1128518474768</v>
      </c>
      <c r="J15" s="521">
        <f>PFI!G24+PFI!G25</f>
        <v>-1191.1008396018349</v>
      </c>
      <c r="K15" s="521">
        <f>PFI!H24+PFI!H25</f>
        <v>-1274.7748143568699</v>
      </c>
      <c r="L15" s="521">
        <f>PFI!I24+PFI!I25</f>
        <v>-1338.5135550747134</v>
      </c>
      <c r="M15" s="521">
        <f>PFI!J24+PFI!J25</f>
        <v>-1378.6689617269549</v>
      </c>
      <c r="N15" s="522">
        <f>N23</f>
        <v>-1893.3720407716849</v>
      </c>
    </row>
    <row r="16" spans="2:19 16384:16384">
      <c r="B16" s="243" t="s">
        <v>109</v>
      </c>
      <c r="C16" s="171"/>
      <c r="D16" s="171"/>
      <c r="E16" s="246"/>
      <c r="F16" s="246"/>
      <c r="G16" s="241">
        <f>SUM(G13:G15)</f>
        <v>9957.8088681318641</v>
      </c>
      <c r="H16" s="241">
        <f t="shared" ref="H16:N16" si="3">SUM(H13:H15)</f>
        <v>13958.077690180216</v>
      </c>
      <c r="I16" s="241">
        <f t="shared" si="3"/>
        <v>14841.504691299691</v>
      </c>
      <c r="J16" s="241">
        <f t="shared" si="3"/>
        <v>15881.344528024465</v>
      </c>
      <c r="K16" s="241">
        <f t="shared" si="3"/>
        <v>16996.997524758266</v>
      </c>
      <c r="L16" s="241">
        <f t="shared" si="3"/>
        <v>17846.847400996179</v>
      </c>
      <c r="M16" s="241">
        <f t="shared" si="3"/>
        <v>18382.252823026065</v>
      </c>
      <c r="N16" s="242">
        <f t="shared" si="3"/>
        <v>18460.377397523924</v>
      </c>
    </row>
    <row r="17" spans="2:20" ht="2.1" customHeight="1">
      <c r="B17" s="245"/>
      <c r="C17" s="33"/>
      <c r="D17" s="33"/>
      <c r="E17" s="244"/>
      <c r="F17" s="244"/>
      <c r="G17" s="121"/>
      <c r="H17" s="121"/>
      <c r="I17" s="121"/>
      <c r="J17" s="121"/>
      <c r="K17" s="121"/>
      <c r="L17" s="121"/>
      <c r="M17" s="121"/>
      <c r="N17" s="122"/>
    </row>
    <row r="18" spans="2:20">
      <c r="B18" s="245" t="s">
        <v>129</v>
      </c>
      <c r="C18" s="33"/>
      <c r="D18" s="33"/>
      <c r="E18" s="244"/>
      <c r="F18" s="131">
        <f>PFI!C28</f>
        <v>0.26140000000000002</v>
      </c>
      <c r="G18" s="521">
        <f>$F$18*-G16</f>
        <v>-2602.9712381296695</v>
      </c>
      <c r="H18" s="521">
        <f t="shared" ref="H18:N18" si="4">$F$18*-H16</f>
        <v>-3648.6415082131089</v>
      </c>
      <c r="I18" s="521">
        <f t="shared" si="4"/>
        <v>-3879.5693263057397</v>
      </c>
      <c r="J18" s="521">
        <f t="shared" si="4"/>
        <v>-4151.3834596255956</v>
      </c>
      <c r="K18" s="521">
        <f t="shared" si="4"/>
        <v>-4443.0151529718114</v>
      </c>
      <c r="L18" s="521">
        <f t="shared" si="4"/>
        <v>-4665.1659106204015</v>
      </c>
      <c r="M18" s="521">
        <f t="shared" si="4"/>
        <v>-4805.1208879390142</v>
      </c>
      <c r="N18" s="522">
        <f t="shared" si="4"/>
        <v>-4825.5426517127544</v>
      </c>
    </row>
    <row r="19" spans="2:20">
      <c r="B19" s="243" t="s">
        <v>70</v>
      </c>
      <c r="C19" s="171"/>
      <c r="D19" s="171"/>
      <c r="E19" s="246"/>
      <c r="F19" s="246"/>
      <c r="G19" s="241">
        <f>SUM(G16:G18)</f>
        <v>7354.8376300021946</v>
      </c>
      <c r="H19" s="241">
        <f t="shared" ref="H19:N19" si="5">SUM(H16:H18)</f>
        <v>10309.436181967107</v>
      </c>
      <c r="I19" s="241">
        <f t="shared" si="5"/>
        <v>10961.935364993951</v>
      </c>
      <c r="J19" s="241">
        <f t="shared" si="5"/>
        <v>11729.961068398869</v>
      </c>
      <c r="K19" s="241">
        <f t="shared" si="5"/>
        <v>12553.982371786455</v>
      </c>
      <c r="L19" s="241">
        <f t="shared" si="5"/>
        <v>13181.681490375777</v>
      </c>
      <c r="M19" s="241">
        <f t="shared" si="5"/>
        <v>13577.131935087051</v>
      </c>
      <c r="N19" s="242">
        <f t="shared" si="5"/>
        <v>13634.834745811169</v>
      </c>
    </row>
    <row r="20" spans="2:20" ht="2.1" customHeight="1">
      <c r="B20" s="245"/>
      <c r="C20" s="33"/>
      <c r="D20" s="33"/>
      <c r="E20" s="244"/>
      <c r="F20" s="244"/>
      <c r="G20" s="121"/>
      <c r="H20" s="121"/>
      <c r="I20" s="121"/>
      <c r="J20" s="121"/>
      <c r="K20" s="121"/>
      <c r="L20" s="121"/>
      <c r="M20" s="121"/>
      <c r="N20" s="122"/>
    </row>
    <row r="21" spans="2:20">
      <c r="B21" s="245" t="s">
        <v>110</v>
      </c>
      <c r="C21" s="33"/>
      <c r="D21" s="33"/>
      <c r="E21" s="244"/>
      <c r="F21" s="244"/>
      <c r="G21" s="121">
        <f>-G15</f>
        <v>746.83566510988987</v>
      </c>
      <c r="H21" s="121">
        <f t="shared" ref="H21:N21" si="6">-H15</f>
        <v>1046.8558267635162</v>
      </c>
      <c r="I21" s="121">
        <f t="shared" si="6"/>
        <v>1113.1128518474768</v>
      </c>
      <c r="J21" s="121">
        <f t="shared" si="6"/>
        <v>1191.1008396018349</v>
      </c>
      <c r="K21" s="121">
        <f t="shared" si="6"/>
        <v>1274.7748143568699</v>
      </c>
      <c r="L21" s="121">
        <f t="shared" si="6"/>
        <v>1338.5135550747134</v>
      </c>
      <c r="M21" s="121">
        <f t="shared" si="6"/>
        <v>1378.6689617269549</v>
      </c>
      <c r="N21" s="122">
        <f t="shared" si="6"/>
        <v>1893.3720407716849</v>
      </c>
    </row>
    <row r="22" spans="2:20">
      <c r="B22" s="245" t="s">
        <v>111</v>
      </c>
      <c r="C22" s="33"/>
      <c r="D22" s="33"/>
      <c r="E22" s="244"/>
      <c r="F22" s="244"/>
      <c r="G22" s="521">
        <f>-PFI!D33</f>
        <v>-1239.9345870329662</v>
      </c>
      <c r="H22" s="521">
        <f>-PFI!E33</f>
        <v>-176.28483551208774</v>
      </c>
      <c r="I22" s="521">
        <f>-PFI!F33</f>
        <v>-220.85675027986872</v>
      </c>
      <c r="J22" s="521">
        <f>-PFI!G33</f>
        <v>-259.95995918119388</v>
      </c>
      <c r="K22" s="521">
        <f>-PFI!H33</f>
        <v>-278.91324918344981</v>
      </c>
      <c r="L22" s="521">
        <f>-PFI!I33</f>
        <v>-212.46246905947828</v>
      </c>
      <c r="M22" s="521">
        <f>-PFI!J33</f>
        <v>-133.85135550747145</v>
      </c>
      <c r="N22" s="522">
        <f>M22*$N$9/$M$9</f>
        <v>-137.86689617269562</v>
      </c>
    </row>
    <row r="23" spans="2:20">
      <c r="B23" s="245" t="s">
        <v>112</v>
      </c>
      <c r="C23" s="33"/>
      <c r="D23" s="33"/>
      <c r="E23" s="244"/>
      <c r="F23" s="244"/>
      <c r="G23" s="521">
        <f>-PFI!D31</f>
        <v>-995.7808868131865</v>
      </c>
      <c r="H23" s="521">
        <f>-PFI!E31</f>
        <v>-1395.8077690180216</v>
      </c>
      <c r="I23" s="521">
        <f>-PFI!F31</f>
        <v>-1484.1504691299692</v>
      </c>
      <c r="J23" s="521">
        <f>-PFI!G31</f>
        <v>-1588.1344528024467</v>
      </c>
      <c r="K23" s="521">
        <f>-PFI!H31</f>
        <v>-1699.6997524758265</v>
      </c>
      <c r="L23" s="521">
        <f>-PFI!I31</f>
        <v>-1784.684740099618</v>
      </c>
      <c r="M23" s="521">
        <f>-PFI!J31</f>
        <v>-1838.2252823026065</v>
      </c>
      <c r="N23" s="522">
        <f>M23*$N$9/$M$9</f>
        <v>-1893.3720407716849</v>
      </c>
    </row>
    <row r="24" spans="2:20">
      <c r="B24" s="243" t="s">
        <v>113</v>
      </c>
      <c r="C24" s="171"/>
      <c r="D24" s="171"/>
      <c r="E24" s="246"/>
      <c r="F24" s="246"/>
      <c r="G24" s="241">
        <f>SUM(G19:G23)</f>
        <v>5865.9578212659326</v>
      </c>
      <c r="H24" s="241">
        <f t="shared" ref="H24:N24" si="7">SUM(H19:H23)</f>
        <v>9784.1994042005135</v>
      </c>
      <c r="I24" s="241">
        <f t="shared" si="7"/>
        <v>10370.04099743159</v>
      </c>
      <c r="J24" s="241">
        <f t="shared" si="7"/>
        <v>11072.967496017061</v>
      </c>
      <c r="K24" s="241">
        <f t="shared" si="7"/>
        <v>11850.144184484048</v>
      </c>
      <c r="L24" s="241">
        <f t="shared" si="7"/>
        <v>12523.047836291395</v>
      </c>
      <c r="M24" s="241">
        <f t="shared" si="7"/>
        <v>12983.724259003928</v>
      </c>
      <c r="N24" s="242">
        <f t="shared" si="7"/>
        <v>13496.967849638473</v>
      </c>
    </row>
    <row r="25" spans="2:20" ht="2.1" customHeight="1">
      <c r="B25" s="249"/>
      <c r="C25" s="10"/>
      <c r="D25" s="10"/>
      <c r="E25" s="250"/>
      <c r="F25" s="250"/>
      <c r="G25" s="45"/>
      <c r="H25" s="45"/>
      <c r="I25" s="45"/>
      <c r="J25" s="45"/>
      <c r="K25" s="45"/>
      <c r="L25" s="45"/>
      <c r="M25" s="251"/>
      <c r="N25" s="45"/>
    </row>
    <row r="26" spans="2:20" hidden="1" outlineLevel="1">
      <c r="B26" s="119" t="s">
        <v>5</v>
      </c>
      <c r="C26" s="120"/>
      <c r="D26" s="33"/>
      <c r="E26" s="244"/>
      <c r="F26" s="244"/>
      <c r="G26" s="252">
        <f>stub</f>
        <v>0.75136612021857918</v>
      </c>
      <c r="H26" s="252">
        <f>YEARFRAC(G8,H8,1)</f>
        <v>1</v>
      </c>
      <c r="I26" s="252">
        <f t="shared" ref="I26:M26" si="8">YEARFRAC(H8,I8,1)</f>
        <v>1</v>
      </c>
      <c r="J26" s="252">
        <f t="shared" si="8"/>
        <v>1</v>
      </c>
      <c r="K26" s="252">
        <f t="shared" si="8"/>
        <v>1</v>
      </c>
      <c r="L26" s="252">
        <f t="shared" si="8"/>
        <v>1</v>
      </c>
      <c r="M26" s="253">
        <f t="shared" si="8"/>
        <v>1</v>
      </c>
      <c r="N26" s="45"/>
    </row>
    <row r="27" spans="2:20" collapsed="1">
      <c r="B27" s="119" t="s">
        <v>96</v>
      </c>
      <c r="C27" s="120"/>
      <c r="D27" s="33"/>
      <c r="E27" s="244"/>
      <c r="F27" s="244"/>
      <c r="G27" s="506">
        <f>G26</f>
        <v>0.75136612021857918</v>
      </c>
      <c r="H27" s="506">
        <f>H26+G27</f>
        <v>1.7513661202185791</v>
      </c>
      <c r="I27" s="506">
        <f t="shared" ref="I27:M27" si="9">I26+H27</f>
        <v>2.7513661202185791</v>
      </c>
      <c r="J27" s="506">
        <f t="shared" si="9"/>
        <v>3.7513661202185791</v>
      </c>
      <c r="K27" s="506">
        <f t="shared" si="9"/>
        <v>4.7513661202185791</v>
      </c>
      <c r="L27" s="506">
        <f t="shared" si="9"/>
        <v>5.7513661202185791</v>
      </c>
      <c r="M27" s="505">
        <f t="shared" si="9"/>
        <v>6.7513661202185791</v>
      </c>
      <c r="N27" s="45"/>
    </row>
    <row r="28" spans="2:20">
      <c r="B28" s="119" t="s">
        <v>6</v>
      </c>
      <c r="C28" s="120"/>
      <c r="D28" s="33"/>
      <c r="E28" s="244"/>
      <c r="F28" s="244"/>
      <c r="G28" s="506">
        <f>G26/2</f>
        <v>0.37568306010928959</v>
      </c>
      <c r="H28" s="506">
        <f>G27+(H26/2)</f>
        <v>1.2513661202185791</v>
      </c>
      <c r="I28" s="506">
        <f t="shared" ref="I28:M28" si="10">H27+(I26/2)</f>
        <v>2.2513661202185791</v>
      </c>
      <c r="J28" s="506">
        <f t="shared" si="10"/>
        <v>3.2513661202185791</v>
      </c>
      <c r="K28" s="506">
        <f t="shared" si="10"/>
        <v>4.2513661202185791</v>
      </c>
      <c r="L28" s="506">
        <f t="shared" si="10"/>
        <v>5.2513661202185791</v>
      </c>
      <c r="M28" s="505">
        <f t="shared" si="10"/>
        <v>6.2513661202185791</v>
      </c>
      <c r="N28" s="45"/>
    </row>
    <row r="29" spans="2:20">
      <c r="B29" s="119" t="s">
        <v>7</v>
      </c>
      <c r="C29" s="120"/>
      <c r="D29" s="33"/>
      <c r="E29" s="254"/>
      <c r="F29" s="131">
        <v>0.15516388602755424</v>
      </c>
      <c r="G29" s="504">
        <f t="shared" ref="G29:M29" si="11">(1+$F$29)^-G28</f>
        <v>0.94725271672418476</v>
      </c>
      <c r="H29" s="504">
        <f t="shared" si="11"/>
        <v>0.834852818082223</v>
      </c>
      <c r="I29" s="504">
        <f t="shared" si="11"/>
        <v>0.72271374493290663</v>
      </c>
      <c r="J29" s="504">
        <f t="shared" si="11"/>
        <v>0.62563741272956286</v>
      </c>
      <c r="K29" s="504">
        <f t="shared" si="11"/>
        <v>0.54160056447145499</v>
      </c>
      <c r="L29" s="504">
        <f t="shared" si="11"/>
        <v>0.46885171101906853</v>
      </c>
      <c r="M29" s="503">
        <f t="shared" si="11"/>
        <v>0.40587462670027152</v>
      </c>
      <c r="N29" s="45"/>
    </row>
    <row r="30" spans="2:20" ht="15.75" thickBot="1">
      <c r="B30" s="257" t="s">
        <v>383</v>
      </c>
      <c r="C30" s="258"/>
      <c r="D30" s="258"/>
      <c r="E30" s="259"/>
      <c r="F30" s="260"/>
      <c r="G30" s="261">
        <f>G29*G24</f>
        <v>5556.5444823836342</v>
      </c>
      <c r="H30" s="261">
        <f t="shared" ref="H30:M30" si="12">H29*H24</f>
        <v>8168.3664452752064</v>
      </c>
      <c r="I30" s="261">
        <f t="shared" si="12"/>
        <v>7494.5711643615587</v>
      </c>
      <c r="J30" s="261">
        <f t="shared" si="12"/>
        <v>6927.66273544666</v>
      </c>
      <c r="K30" s="261">
        <f t="shared" si="12"/>
        <v>6418.0447793846906</v>
      </c>
      <c r="L30" s="261">
        <f t="shared" si="12"/>
        <v>5871.4524052188644</v>
      </c>
      <c r="M30" s="262">
        <f t="shared" si="12"/>
        <v>5269.764236802479</v>
      </c>
      <c r="N30" s="45"/>
      <c r="R30" s="1"/>
    </row>
    <row r="31" spans="2:20" ht="15.75" thickBo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Q31" s="764" t="s">
        <v>349</v>
      </c>
      <c r="R31" s="765"/>
      <c r="S31" s="765"/>
      <c r="T31" s="766"/>
    </row>
    <row r="32" spans="2:20" ht="15.75" thickBot="1">
      <c r="B32" s="495" t="s">
        <v>100</v>
      </c>
      <c r="C32" s="494"/>
      <c r="D32" s="494"/>
      <c r="E32" s="493"/>
      <c r="F32" s="493"/>
      <c r="G32" s="332">
        <f>SUM(G30:M30)</f>
        <v>45706.4062488731</v>
      </c>
      <c r="H32" s="3"/>
      <c r="I32" s="3"/>
      <c r="Q32" s="420" t="s">
        <v>345</v>
      </c>
      <c r="R32" s="186"/>
      <c r="S32" s="186"/>
      <c r="T32" s="122">
        <f>'Historical IS'!H13+('Historical IS'!G13*stub)</f>
        <v>31691.636385962454</v>
      </c>
    </row>
    <row r="33" spans="1:20" ht="15.75" thickBot="1">
      <c r="B33" s="245" t="s">
        <v>101</v>
      </c>
      <c r="C33" s="33"/>
      <c r="D33" s="33"/>
      <c r="E33" s="244"/>
      <c r="F33" s="244"/>
      <c r="G33" s="326">
        <f>N37</f>
        <v>43767.231598670638</v>
      </c>
      <c r="H33" s="3"/>
      <c r="I33" s="3"/>
      <c r="J33" s="313" t="s">
        <v>97</v>
      </c>
      <c r="K33" s="263"/>
      <c r="L33" s="263"/>
      <c r="M33" s="263"/>
      <c r="N33" s="248"/>
      <c r="Q33" s="420" t="s">
        <v>346</v>
      </c>
      <c r="R33" s="186"/>
      <c r="S33" s="186"/>
      <c r="T33" s="122">
        <f>'Historical BS'!H46</f>
        <v>2073.3000000000002</v>
      </c>
    </row>
    <row r="34" spans="1:20" ht="15.75" thickBot="1">
      <c r="B34" s="501" t="s">
        <v>102</v>
      </c>
      <c r="C34" s="500"/>
      <c r="D34" s="500"/>
      <c r="E34" s="499"/>
      <c r="F34" s="499"/>
      <c r="G34" s="492">
        <f>SUM(G32:G33)</f>
        <v>89473.637847543738</v>
      </c>
      <c r="H34" s="44"/>
      <c r="I34" s="44"/>
      <c r="J34" s="245" t="s">
        <v>384</v>
      </c>
      <c r="K34" s="33"/>
      <c r="L34" s="33"/>
      <c r="M34" s="33"/>
      <c r="N34" s="122">
        <f>N24</f>
        <v>13496.967849638473</v>
      </c>
      <c r="Q34" s="420" t="s">
        <v>347</v>
      </c>
      <c r="R34" s="186"/>
      <c r="S34" s="186"/>
      <c r="T34" s="122">
        <f>T32*G50</f>
        <v>3169.1636385962456</v>
      </c>
    </row>
    <row r="35" spans="1:20" ht="15.75" thickBot="1">
      <c r="B35" s="491" t="s">
        <v>157</v>
      </c>
      <c r="C35" s="490"/>
      <c r="D35" s="490"/>
      <c r="E35" s="489"/>
      <c r="F35" s="489"/>
      <c r="G35" s="488">
        <f>ROUND(G34,0)</f>
        <v>89474</v>
      </c>
      <c r="H35" s="3"/>
      <c r="I35" s="3"/>
      <c r="J35" s="245" t="s">
        <v>88</v>
      </c>
      <c r="K35" s="33"/>
      <c r="L35" s="33"/>
      <c r="M35" s="33"/>
      <c r="N35" s="264">
        <f>LTGR</f>
        <v>0.03</v>
      </c>
      <c r="Q35" s="421" t="s">
        <v>348</v>
      </c>
      <c r="R35" s="422"/>
      <c r="S35" s="422"/>
      <c r="T35" s="523">
        <f>T33-T34</f>
        <v>-1095.8636385962454</v>
      </c>
    </row>
    <row r="36" spans="1:20" ht="15.75" thickBot="1">
      <c r="B36" s="64"/>
      <c r="C36" s="64"/>
      <c r="D36" s="64"/>
      <c r="E36" s="65"/>
      <c r="F36" s="65"/>
      <c r="G36" s="62"/>
      <c r="H36" s="44"/>
      <c r="I36" s="44"/>
      <c r="J36" s="245" t="s">
        <v>99</v>
      </c>
      <c r="K36" s="33"/>
      <c r="L36" s="33"/>
      <c r="M36" s="33"/>
      <c r="N36" s="264">
        <f>F29-N35</f>
        <v>0.12516388602755424</v>
      </c>
    </row>
    <row r="37" spans="1:20" ht="15.75" thickBot="1">
      <c r="A37" s="26"/>
      <c r="B37" s="487" t="s">
        <v>49</v>
      </c>
      <c r="C37" s="486"/>
      <c r="D37" s="486"/>
      <c r="E37" s="485"/>
      <c r="F37" s="485"/>
      <c r="G37" s="484">
        <f>'Summary of Values'!E11</f>
        <v>89000</v>
      </c>
      <c r="H37" s="46"/>
      <c r="I37" s="43"/>
      <c r="J37" s="257" t="s">
        <v>98</v>
      </c>
      <c r="K37" s="258"/>
      <c r="L37" s="258"/>
      <c r="M37" s="258"/>
      <c r="N37" s="262">
        <f>(N34/N36)*M29</f>
        <v>43767.231598670638</v>
      </c>
    </row>
    <row r="38" spans="1:20">
      <c r="H38" s="43"/>
      <c r="I38" s="43"/>
      <c r="J38" s="43"/>
      <c r="K38" s="43"/>
      <c r="L38" s="43"/>
      <c r="M38" s="43"/>
      <c r="N38" s="43"/>
    </row>
    <row r="39" spans="1:20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1:20" ht="15.75" thickBot="1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1:20">
      <c r="B41" s="117" t="s">
        <v>71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37"/>
    </row>
    <row r="42" spans="1:20">
      <c r="B42" s="124" t="s">
        <v>72</v>
      </c>
      <c r="C42" s="36"/>
      <c r="D42" s="39"/>
      <c r="E42" s="39"/>
      <c r="F42" s="39"/>
      <c r="G42" s="39" t="s">
        <v>78</v>
      </c>
      <c r="H42" s="40">
        <f>(H9/(G9/stub))-1</f>
        <v>5.3206264416656435E-2</v>
      </c>
      <c r="I42" s="40">
        <f t="shared" ref="I42:N42" si="13">I9/H9-1</f>
        <v>6.3291451783577868E-2</v>
      </c>
      <c r="J42" s="40">
        <f t="shared" si="13"/>
        <v>7.0062965875309358E-2</v>
      </c>
      <c r="K42" s="40">
        <f t="shared" si="13"/>
        <v>7.0249278627832812E-2</v>
      </c>
      <c r="L42" s="40">
        <f t="shared" si="13"/>
        <v>5.0000000000000044E-2</v>
      </c>
      <c r="M42" s="40">
        <f t="shared" si="13"/>
        <v>3.0000000000000027E-2</v>
      </c>
      <c r="N42" s="139">
        <f t="shared" si="13"/>
        <v>3.0000000000000027E-2</v>
      </c>
    </row>
    <row r="43" spans="1:20">
      <c r="B43" s="124" t="s">
        <v>116</v>
      </c>
      <c r="C43" s="36"/>
      <c r="D43" s="39"/>
      <c r="E43" s="39"/>
      <c r="F43" s="39"/>
      <c r="G43" s="545">
        <f t="shared" ref="G43:N46" si="14">G10/G$9</f>
        <v>-0.12</v>
      </c>
      <c r="H43" s="545">
        <f t="shared" si="14"/>
        <v>-0.12</v>
      </c>
      <c r="I43" s="545">
        <f t="shared" si="14"/>
        <v>-0.12</v>
      </c>
      <c r="J43" s="545">
        <f t="shared" si="14"/>
        <v>-0.12</v>
      </c>
      <c r="K43" s="545">
        <f t="shared" si="14"/>
        <v>-0.12</v>
      </c>
      <c r="L43" s="545">
        <f t="shared" si="14"/>
        <v>-0.12</v>
      </c>
      <c r="M43" s="545">
        <f t="shared" si="14"/>
        <v>-0.12</v>
      </c>
      <c r="N43" s="546">
        <f t="shared" si="14"/>
        <v>-0.11999999999999998</v>
      </c>
    </row>
    <row r="44" spans="1:20">
      <c r="B44" s="124" t="s">
        <v>117</v>
      </c>
      <c r="C44" s="36"/>
      <c r="D44" s="39"/>
      <c r="E44" s="39"/>
      <c r="F44" s="39"/>
      <c r="G44" s="545">
        <f t="shared" si="14"/>
        <v>0.87999999999999989</v>
      </c>
      <c r="H44" s="545">
        <f t="shared" si="14"/>
        <v>0.88</v>
      </c>
      <c r="I44" s="545">
        <f t="shared" si="14"/>
        <v>0.88</v>
      </c>
      <c r="J44" s="545">
        <f t="shared" si="14"/>
        <v>0.88</v>
      </c>
      <c r="K44" s="545">
        <f t="shared" si="14"/>
        <v>0.88</v>
      </c>
      <c r="L44" s="545">
        <f t="shared" si="14"/>
        <v>0.88000000000000012</v>
      </c>
      <c r="M44" s="545">
        <f t="shared" si="14"/>
        <v>0.88</v>
      </c>
      <c r="N44" s="546">
        <f t="shared" si="14"/>
        <v>0.88</v>
      </c>
    </row>
    <row r="45" spans="1:20">
      <c r="B45" s="124" t="s">
        <v>118</v>
      </c>
      <c r="C45" s="36"/>
      <c r="D45" s="39"/>
      <c r="E45" s="39"/>
      <c r="F45" s="39"/>
      <c r="G45" s="545">
        <f t="shared" si="14"/>
        <v>-0.45</v>
      </c>
      <c r="H45" s="545">
        <f t="shared" si="14"/>
        <v>-0.45</v>
      </c>
      <c r="I45" s="545">
        <f t="shared" si="14"/>
        <v>-0.45</v>
      </c>
      <c r="J45" s="545">
        <f t="shared" si="14"/>
        <v>-0.45</v>
      </c>
      <c r="K45" s="545">
        <f t="shared" si="14"/>
        <v>-0.44999999999999996</v>
      </c>
      <c r="L45" s="545">
        <f t="shared" si="14"/>
        <v>-0.45000000000000007</v>
      </c>
      <c r="M45" s="545">
        <f t="shared" si="14"/>
        <v>-0.45</v>
      </c>
      <c r="N45" s="546">
        <f t="shared" si="14"/>
        <v>-0.45</v>
      </c>
    </row>
    <row r="46" spans="1:20">
      <c r="B46" s="124" t="s">
        <v>120</v>
      </c>
      <c r="C46" s="36"/>
      <c r="D46" s="39"/>
      <c r="E46" s="39"/>
      <c r="F46" s="39"/>
      <c r="G46" s="545">
        <f t="shared" si="14"/>
        <v>0.42999999999999994</v>
      </c>
      <c r="H46" s="545">
        <f t="shared" si="14"/>
        <v>0.43</v>
      </c>
      <c r="I46" s="545">
        <f t="shared" si="14"/>
        <v>0.43</v>
      </c>
      <c r="J46" s="545">
        <f t="shared" si="14"/>
        <v>0.43</v>
      </c>
      <c r="K46" s="545">
        <f t="shared" si="14"/>
        <v>0.43000000000000005</v>
      </c>
      <c r="L46" s="545">
        <f t="shared" si="14"/>
        <v>0.43000000000000005</v>
      </c>
      <c r="M46" s="545">
        <f t="shared" si="14"/>
        <v>0.43</v>
      </c>
      <c r="N46" s="546">
        <f t="shared" si="14"/>
        <v>0.42999999999999994</v>
      </c>
    </row>
    <row r="47" spans="1:20">
      <c r="B47" s="124" t="s">
        <v>119</v>
      </c>
      <c r="C47" s="36"/>
      <c r="D47" s="39"/>
      <c r="E47" s="39"/>
      <c r="F47" s="39"/>
      <c r="G47" s="545">
        <f t="shared" ref="G47:N48" si="15">G15/G$9</f>
        <v>-0.03</v>
      </c>
      <c r="H47" s="545">
        <f t="shared" si="15"/>
        <v>-0.03</v>
      </c>
      <c r="I47" s="545">
        <f t="shared" si="15"/>
        <v>-0.03</v>
      </c>
      <c r="J47" s="545">
        <f t="shared" si="15"/>
        <v>-0.03</v>
      </c>
      <c r="K47" s="545">
        <f t="shared" si="15"/>
        <v>-0.03</v>
      </c>
      <c r="L47" s="545">
        <f t="shared" si="15"/>
        <v>-0.03</v>
      </c>
      <c r="M47" s="545">
        <f t="shared" si="15"/>
        <v>-0.03</v>
      </c>
      <c r="N47" s="546">
        <f t="shared" si="15"/>
        <v>-0.04</v>
      </c>
    </row>
    <row r="48" spans="1:20">
      <c r="B48" s="124" t="s">
        <v>75</v>
      </c>
      <c r="C48" s="36"/>
      <c r="D48" s="39"/>
      <c r="E48" s="39"/>
      <c r="F48" s="39"/>
      <c r="G48" s="545">
        <f t="shared" si="15"/>
        <v>0.39999999999999997</v>
      </c>
      <c r="H48" s="545">
        <f t="shared" si="15"/>
        <v>0.4</v>
      </c>
      <c r="I48" s="545">
        <f t="shared" si="15"/>
        <v>0.4</v>
      </c>
      <c r="J48" s="545">
        <f t="shared" si="15"/>
        <v>0.39999999999999997</v>
      </c>
      <c r="K48" s="545">
        <f t="shared" si="15"/>
        <v>0.4</v>
      </c>
      <c r="L48" s="545">
        <f t="shared" si="15"/>
        <v>0.4</v>
      </c>
      <c r="M48" s="545">
        <f t="shared" si="15"/>
        <v>0.4</v>
      </c>
      <c r="N48" s="546">
        <f t="shared" si="15"/>
        <v>0.3899999999999999</v>
      </c>
    </row>
    <row r="49" spans="2:14">
      <c r="B49" s="124" t="s">
        <v>93</v>
      </c>
      <c r="C49" s="36"/>
      <c r="D49" s="39"/>
      <c r="E49" s="39"/>
      <c r="F49" s="39"/>
      <c r="G49" s="545">
        <f>-G23/G9</f>
        <v>0.04</v>
      </c>
      <c r="H49" s="545">
        <f t="shared" ref="H49:N49" si="16">-H23/H9</f>
        <v>0.04</v>
      </c>
      <c r="I49" s="545">
        <f t="shared" si="16"/>
        <v>0.04</v>
      </c>
      <c r="J49" s="545">
        <f t="shared" si="16"/>
        <v>0.04</v>
      </c>
      <c r="K49" s="545">
        <f t="shared" si="16"/>
        <v>0.04</v>
      </c>
      <c r="L49" s="545">
        <f t="shared" si="16"/>
        <v>0.04</v>
      </c>
      <c r="M49" s="545">
        <f t="shared" si="16"/>
        <v>0.04</v>
      </c>
      <c r="N49" s="546">
        <f t="shared" si="16"/>
        <v>0.04</v>
      </c>
    </row>
    <row r="50" spans="2:14" ht="15.75" thickBot="1">
      <c r="B50" s="140" t="s">
        <v>121</v>
      </c>
      <c r="C50" s="58"/>
      <c r="D50" s="265"/>
      <c r="E50" s="265"/>
      <c r="F50" s="265"/>
      <c r="G50" s="547">
        <f>PFI!C32</f>
        <v>0.1</v>
      </c>
      <c r="H50" s="547">
        <f>G50</f>
        <v>0.1</v>
      </c>
      <c r="I50" s="547">
        <f t="shared" ref="I50:N50" si="17">H50</f>
        <v>0.1</v>
      </c>
      <c r="J50" s="547">
        <f t="shared" si="17"/>
        <v>0.1</v>
      </c>
      <c r="K50" s="547">
        <f t="shared" si="17"/>
        <v>0.1</v>
      </c>
      <c r="L50" s="547">
        <f t="shared" si="17"/>
        <v>0.1</v>
      </c>
      <c r="M50" s="547">
        <f t="shared" si="17"/>
        <v>0.1</v>
      </c>
      <c r="N50" s="548">
        <f t="shared" si="17"/>
        <v>0.1</v>
      </c>
    </row>
    <row r="51" spans="2:14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2:14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</row>
  </sheetData>
  <mergeCells count="3">
    <mergeCell ref="B7:F7"/>
    <mergeCell ref="H7:M7"/>
    <mergeCell ref="Q31:T31"/>
  </mergeCells>
  <pageMargins left="0.5" right="0.5" top="0.5" bottom="0.5" header="0.5" footer="0.5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7:N13"/>
  <sheetViews>
    <sheetView showGridLines="0" view="pageBreakPreview" zoomScale="55" zoomScaleNormal="100" zoomScaleSheetLayoutView="55" workbookViewId="0"/>
  </sheetViews>
  <sheetFormatPr defaultRowHeight="15"/>
  <sheetData>
    <row r="7" spans="2:14" ht="15.75" thickBot="1"/>
    <row r="8" spans="2:14">
      <c r="B8" s="761" t="s">
        <v>372</v>
      </c>
      <c r="C8" s="761"/>
      <c r="D8" s="761"/>
      <c r="E8" s="761"/>
      <c r="F8" s="761"/>
      <c r="G8" s="761"/>
      <c r="H8" s="761"/>
      <c r="I8" s="761"/>
      <c r="J8" s="761"/>
      <c r="K8" s="761"/>
      <c r="L8" s="761"/>
      <c r="M8" s="761"/>
      <c r="N8" s="761"/>
    </row>
    <row r="9" spans="2:14">
      <c r="B9" s="762"/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/>
    </row>
    <row r="10" spans="2:14">
      <c r="B10" s="762"/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</row>
    <row r="11" spans="2:14">
      <c r="B11" s="762"/>
      <c r="C11" s="762"/>
      <c r="D11" s="762"/>
      <c r="E11" s="762"/>
      <c r="F11" s="762"/>
      <c r="G11" s="762"/>
      <c r="H11" s="762"/>
      <c r="I11" s="762"/>
      <c r="J11" s="762"/>
      <c r="K11" s="762"/>
      <c r="L11" s="762"/>
      <c r="M11" s="762"/>
      <c r="N11" s="762"/>
    </row>
    <row r="12" spans="2:14">
      <c r="B12" s="762"/>
      <c r="C12" s="762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</row>
    <row r="13" spans="2:14" ht="15.75" thickBot="1"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</row>
  </sheetData>
  <mergeCells count="1">
    <mergeCell ref="B8:N13"/>
  </mergeCells>
  <pageMargins left="0.5" right="0.5" top="0.5" bottom="0.5" header="0.3" footer="0.3"/>
  <pageSetup scale="92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65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34" customWidth="1"/>
    <col min="3" max="3" width="12.5703125" customWidth="1"/>
    <col min="4" max="8" width="14.7109375" customWidth="1"/>
    <col min="9" max="9" width="2.7109375" customWidth="1"/>
    <col min="11" max="11" width="3.5703125" customWidth="1"/>
    <col min="12" max="12" width="34" customWidth="1"/>
    <col min="13" max="13" width="12.5703125" customWidth="1"/>
    <col min="14" max="18" width="14.7109375" customWidth="1"/>
    <col min="19" max="19" width="2.7109375" customWidth="1"/>
  </cols>
  <sheetData>
    <row r="1" spans="1:22" ht="15.75">
      <c r="A1" s="2"/>
      <c r="B1" s="18" t="str">
        <f>Acq_name</f>
        <v>[Acq.Co. Holdings Ltd.]</v>
      </c>
      <c r="H1" s="34" t="str">
        <f>"Exhibit: "&amp;INDEX(TOC!$B$5:$E$34,MATCH($B$3,TOC!$E$5:$E$36,0),COLUMNS(TOC!D5))&amp;J1</f>
        <v>Exhibit: F.1</v>
      </c>
      <c r="J1" s="377" t="s">
        <v>304</v>
      </c>
      <c r="L1" s="18" t="str">
        <f t="shared" ref="L1:L5" si="0">B1</f>
        <v>[Acq.Co. Holdings Ltd.]</v>
      </c>
      <c r="R1" s="34" t="str">
        <f>"Exhibit: "&amp;INDEX(TOC!$B$5:$E$34,MATCH($B$3,TOC!$E$5:$E$36,0),COLUMNS(TOC!M5))&amp;T1</f>
        <v>Exhibit: F.2</v>
      </c>
      <c r="T1" s="377" t="s">
        <v>305</v>
      </c>
    </row>
    <row r="2" spans="1:22">
      <c r="A2" s="2"/>
      <c r="B2" s="19" t="str">
        <f>Targ_name</f>
        <v>[ABC Corporation]</v>
      </c>
      <c r="L2" s="19" t="str">
        <f t="shared" si="0"/>
        <v>[ABC Corporation]</v>
      </c>
    </row>
    <row r="3" spans="1:22">
      <c r="A3" s="2"/>
      <c r="B3" s="20" t="str">
        <f>TOC!E16</f>
        <v>Historical Income Statement</v>
      </c>
      <c r="L3" s="20" t="str">
        <f>B3&amp;" - CommonSize"</f>
        <v>Historical Income Statement - CommonSize</v>
      </c>
    </row>
    <row r="4" spans="1:22">
      <c r="B4" s="25" t="str">
        <f>"Valuation as of "&amp;TEXT(Val_date,"DD MMMM YYYY")</f>
        <v>Valuation as of 31 March 2020</v>
      </c>
      <c r="L4" s="25" t="str">
        <f t="shared" si="0"/>
        <v>Valuation as of 31 March 2020</v>
      </c>
    </row>
    <row r="5" spans="1:22">
      <c r="B5" s="27" t="str">
        <f>'Key Inputs and Assumptions'!C24</f>
        <v>(in USD ‘000s unless specified otherwise)</v>
      </c>
      <c r="L5" s="27" t="str">
        <f t="shared" si="0"/>
        <v>(in USD ‘000s unless specified otherwise)</v>
      </c>
    </row>
    <row r="6" spans="1:22" ht="15.75" thickBot="1"/>
    <row r="7" spans="1:22">
      <c r="B7" s="143" t="s">
        <v>61</v>
      </c>
      <c r="C7" s="59"/>
      <c r="D7" s="60"/>
      <c r="E7" s="60"/>
      <c r="F7" s="60"/>
      <c r="G7" s="60"/>
      <c r="H7" s="145" t="str">
        <f>"Period ended: "</f>
        <v xml:space="preserve">Period ended: </v>
      </c>
      <c r="L7" s="143" t="s">
        <v>306</v>
      </c>
      <c r="M7" s="59"/>
      <c r="N7" s="60"/>
      <c r="O7" s="60"/>
      <c r="P7" s="60"/>
      <c r="Q7" s="60"/>
      <c r="R7" s="145" t="str">
        <f>"Period ended: "</f>
        <v xml:space="preserve">Period ended: </v>
      </c>
    </row>
    <row r="8" spans="1:22">
      <c r="B8" s="208"/>
      <c r="C8" s="37"/>
      <c r="D8" s="38">
        <f>E8-1</f>
        <v>2016</v>
      </c>
      <c r="E8" s="38">
        <f>F8-1</f>
        <v>2017</v>
      </c>
      <c r="F8" s="38">
        <f>G8-1</f>
        <v>2018</v>
      </c>
      <c r="G8" s="38">
        <f>YEAR(LFY)</f>
        <v>2019</v>
      </c>
      <c r="H8" s="209" t="str">
        <f>TEXT(TTM,"DD MMM YYYY")</f>
        <v>31 Mar 2020</v>
      </c>
      <c r="L8" s="208"/>
      <c r="M8" s="37"/>
      <c r="N8" s="38">
        <f>O8-1</f>
        <v>2016</v>
      </c>
      <c r="O8" s="38">
        <f>P8-1</f>
        <v>2017</v>
      </c>
      <c r="P8" s="38">
        <f>Q8-1</f>
        <v>2018</v>
      </c>
      <c r="Q8" s="38">
        <f>YEAR(LFY)</f>
        <v>2019</v>
      </c>
      <c r="R8" s="209" t="str">
        <f>TEXT(TTM,"DD MMM YYYY")</f>
        <v>31 Mar 2020</v>
      </c>
    </row>
    <row r="9" spans="1:22" s="3" customFormat="1" ht="9.9499999999999993" customHeight="1">
      <c r="B9" s="124"/>
      <c r="C9" s="36"/>
      <c r="D9" s="36"/>
      <c r="E9" s="36"/>
      <c r="F9" s="36"/>
      <c r="G9" s="36"/>
      <c r="H9" s="179"/>
      <c r="L9" s="124"/>
      <c r="M9" s="36"/>
      <c r="N9" s="36"/>
      <c r="O9" s="36"/>
      <c r="P9" s="36"/>
      <c r="Q9" s="36"/>
      <c r="R9" s="179"/>
    </row>
    <row r="10" spans="1:22" s="3" customFormat="1" ht="12.75">
      <c r="B10" s="123" t="s">
        <v>62</v>
      </c>
      <c r="C10" s="36"/>
      <c r="D10" s="199"/>
      <c r="E10" s="199"/>
      <c r="F10" s="199"/>
      <c r="G10" s="199"/>
      <c r="H10" s="200"/>
      <c r="L10" s="123" t="str">
        <f t="shared" ref="L10:L15" si="1">B10</f>
        <v>Revenue</v>
      </c>
      <c r="M10" s="36"/>
      <c r="N10" s="199"/>
      <c r="O10" s="199"/>
      <c r="P10" s="199"/>
      <c r="Q10" s="199"/>
      <c r="R10" s="200"/>
      <c r="U10" s="406" t="s">
        <v>325</v>
      </c>
      <c r="V10" s="406" t="s">
        <v>325</v>
      </c>
    </row>
    <row r="11" spans="1:22" s="3" customFormat="1" ht="12.75">
      <c r="B11" s="124" t="s">
        <v>286</v>
      </c>
      <c r="C11" s="36"/>
      <c r="D11" s="199">
        <v>17270.7218995</v>
      </c>
      <c r="E11" s="199">
        <v>18597.633977439997</v>
      </c>
      <c r="F11" s="199">
        <v>19351.086900670834</v>
      </c>
      <c r="G11" s="199">
        <v>20844.995127537964</v>
      </c>
      <c r="H11" s="200">
        <v>5439.5438999999997</v>
      </c>
      <c r="L11" s="124" t="str">
        <f t="shared" si="1"/>
        <v>Revenue from sale of devices</v>
      </c>
      <c r="M11" s="36"/>
      <c r="N11" s="396">
        <f>D11/D$13</f>
        <v>0.62484271735633667</v>
      </c>
      <c r="O11" s="396">
        <f t="shared" ref="O11:O15" si="2">E11/E$13</f>
        <v>0.64141719129441577</v>
      </c>
      <c r="P11" s="396">
        <f t="shared" ref="P11:P15" si="3">F11/F$13</f>
        <v>0.6508008938755141</v>
      </c>
      <c r="Q11" s="396">
        <f t="shared" ref="Q11:Q15" si="4">G11/G$13</f>
        <v>0.66779006572042421</v>
      </c>
      <c r="R11" s="397">
        <f t="shared" ref="R11:R15" si="5">H11/H$13</f>
        <v>0.66031322083282751</v>
      </c>
      <c r="U11" s="407" t="s">
        <v>327</v>
      </c>
      <c r="V11" s="406" t="s">
        <v>326</v>
      </c>
    </row>
    <row r="12" spans="1:22" s="3" customFormat="1" ht="12.75">
      <c r="B12" s="124" t="s">
        <v>303</v>
      </c>
      <c r="C12" s="36"/>
      <c r="D12" s="199">
        <v>10369.388835200001</v>
      </c>
      <c r="E12" s="199">
        <v>10396.964592499999</v>
      </c>
      <c r="F12" s="199">
        <v>10383.179113371138</v>
      </c>
      <c r="G12" s="199">
        <v>10369.897392688434</v>
      </c>
      <c r="H12" s="200">
        <v>2798.2797999999998</v>
      </c>
      <c r="L12" s="124" t="str">
        <f t="shared" si="1"/>
        <v>Revenue from app subscriptions</v>
      </c>
      <c r="M12" s="36"/>
      <c r="N12" s="551">
        <f t="shared" ref="N12:N15" si="6">D12/D$13</f>
        <v>0.37515728264366333</v>
      </c>
      <c r="O12" s="551">
        <f t="shared" si="2"/>
        <v>0.35858280870558418</v>
      </c>
      <c r="P12" s="551">
        <f t="shared" si="3"/>
        <v>0.3491991061244859</v>
      </c>
      <c r="Q12" s="551">
        <f t="shared" si="4"/>
        <v>0.33220993427957579</v>
      </c>
      <c r="R12" s="552">
        <f t="shared" si="5"/>
        <v>0.33968677916717255</v>
      </c>
      <c r="S12" s="553"/>
      <c r="T12" s="553"/>
      <c r="U12" s="554"/>
      <c r="V12" s="554"/>
    </row>
    <row r="13" spans="1:22" s="3" customFormat="1" ht="12.75">
      <c r="B13" s="123" t="s">
        <v>285</v>
      </c>
      <c r="C13" s="36"/>
      <c r="D13" s="188">
        <f>SUM(D11:D12)</f>
        <v>27640.1107347</v>
      </c>
      <c r="E13" s="188">
        <f t="shared" ref="E13:H13" si="7">SUM(E11:E12)</f>
        <v>28994.598569939997</v>
      </c>
      <c r="F13" s="188">
        <f t="shared" si="7"/>
        <v>29734.266014041972</v>
      </c>
      <c r="G13" s="188">
        <f t="shared" si="7"/>
        <v>31214.8925202264</v>
      </c>
      <c r="H13" s="201">
        <f t="shared" si="7"/>
        <v>8237.823699999999</v>
      </c>
      <c r="L13" s="123" t="str">
        <f t="shared" si="1"/>
        <v>Total Revenue</v>
      </c>
      <c r="M13" s="36"/>
      <c r="N13" s="555">
        <f t="shared" si="6"/>
        <v>1</v>
      </c>
      <c r="O13" s="555">
        <f t="shared" si="2"/>
        <v>1</v>
      </c>
      <c r="P13" s="555">
        <f t="shared" si="3"/>
        <v>1</v>
      </c>
      <c r="Q13" s="555">
        <f t="shared" si="4"/>
        <v>1</v>
      </c>
      <c r="R13" s="556">
        <f t="shared" si="5"/>
        <v>1</v>
      </c>
      <c r="S13" s="553"/>
      <c r="T13" s="553"/>
      <c r="U13" s="554"/>
      <c r="V13" s="554"/>
    </row>
    <row r="14" spans="1:22" s="3" customFormat="1" ht="12.75">
      <c r="B14" s="124" t="s">
        <v>205</v>
      </c>
      <c r="C14" s="36"/>
      <c r="D14" s="524">
        <v>-11842.243315920998</v>
      </c>
      <c r="E14" s="524">
        <v>-12052.945940076603</v>
      </c>
      <c r="F14" s="524">
        <v>-11075.574114252942</v>
      </c>
      <c r="G14" s="524">
        <v>-10447.814344552964</v>
      </c>
      <c r="H14" s="525">
        <v>-3145.3782891055444</v>
      </c>
      <c r="L14" s="124" t="str">
        <f t="shared" si="1"/>
        <v>Cost of revenue</v>
      </c>
      <c r="M14" s="36"/>
      <c r="N14" s="551">
        <f t="shared" si="6"/>
        <v>-0.42844413430854988</v>
      </c>
      <c r="O14" s="551">
        <f t="shared" si="2"/>
        <v>-0.41569625152777362</v>
      </c>
      <c r="P14" s="551">
        <f t="shared" si="3"/>
        <v>-0.37248520306580007</v>
      </c>
      <c r="Q14" s="551">
        <f t="shared" si="4"/>
        <v>-0.33470608100870652</v>
      </c>
      <c r="R14" s="552">
        <f t="shared" si="5"/>
        <v>-0.38182151058968944</v>
      </c>
      <c r="S14" s="553"/>
      <c r="T14" s="553"/>
      <c r="U14" s="554">
        <f t="shared" ref="U14" si="8">AVERAGE(N14:R14)</f>
        <v>-0.3866306361001039</v>
      </c>
      <c r="V14" s="554">
        <f>AVERAGE(P14:R14)</f>
        <v>-0.36300426488806536</v>
      </c>
    </row>
    <row r="15" spans="1:22" s="3" customFormat="1" ht="12.75">
      <c r="B15" s="123" t="s">
        <v>63</v>
      </c>
      <c r="C15" s="36"/>
      <c r="D15" s="188">
        <f>SUM(D13:D14)</f>
        <v>15797.867418779002</v>
      </c>
      <c r="E15" s="188">
        <f t="shared" ref="E15:H15" si="9">SUM(E13:E14)</f>
        <v>16941.652629863394</v>
      </c>
      <c r="F15" s="188">
        <f t="shared" si="9"/>
        <v>18658.691899789032</v>
      </c>
      <c r="G15" s="188">
        <f t="shared" si="9"/>
        <v>20767.078175673436</v>
      </c>
      <c r="H15" s="201">
        <f t="shared" si="9"/>
        <v>5092.4454108944547</v>
      </c>
      <c r="L15" s="123" t="str">
        <f t="shared" si="1"/>
        <v>Gross Profit</v>
      </c>
      <c r="M15" s="36"/>
      <c r="N15" s="555">
        <f t="shared" si="6"/>
        <v>0.57155586569145012</v>
      </c>
      <c r="O15" s="555">
        <f t="shared" si="2"/>
        <v>0.58430374847222633</v>
      </c>
      <c r="P15" s="555">
        <f t="shared" si="3"/>
        <v>0.62751479693419998</v>
      </c>
      <c r="Q15" s="555">
        <f t="shared" si="4"/>
        <v>0.66529391899129353</v>
      </c>
      <c r="R15" s="556">
        <f t="shared" si="5"/>
        <v>0.61817848941031051</v>
      </c>
      <c r="S15" s="553"/>
      <c r="T15" s="553"/>
      <c r="U15" s="554"/>
      <c r="V15" s="554"/>
    </row>
    <row r="16" spans="1:22" s="3" customFormat="1" ht="9.9499999999999993" customHeight="1">
      <c r="B16" s="124"/>
      <c r="C16" s="36"/>
      <c r="D16" s="187"/>
      <c r="E16" s="187"/>
      <c r="F16" s="187"/>
      <c r="G16" s="187"/>
      <c r="H16" s="202"/>
      <c r="L16" s="124"/>
      <c r="M16" s="36"/>
      <c r="N16" s="551"/>
      <c r="O16" s="551"/>
      <c r="P16" s="551"/>
      <c r="Q16" s="551"/>
      <c r="R16" s="552"/>
      <c r="S16" s="553"/>
      <c r="T16" s="553"/>
      <c r="U16" s="554"/>
      <c r="V16" s="554"/>
    </row>
    <row r="17" spans="2:22" s="3" customFormat="1" ht="12.75">
      <c r="B17" s="123" t="s">
        <v>64</v>
      </c>
      <c r="C17" s="36"/>
      <c r="D17" s="187"/>
      <c r="E17" s="187"/>
      <c r="F17" s="187"/>
      <c r="G17" s="187"/>
      <c r="H17" s="202"/>
      <c r="L17" s="123" t="str">
        <f t="shared" ref="L17:L22" si="10">B17</f>
        <v>Operating expenses (excl. Dep.)</v>
      </c>
      <c r="M17" s="36"/>
      <c r="N17" s="551"/>
      <c r="O17" s="551"/>
      <c r="P17" s="551"/>
      <c r="Q17" s="551"/>
      <c r="R17" s="552"/>
      <c r="S17" s="553"/>
      <c r="T17" s="553"/>
      <c r="U17" s="554"/>
      <c r="V17" s="554"/>
    </row>
    <row r="18" spans="2:22" s="3" customFormat="1" ht="12.75">
      <c r="B18" s="124" t="s">
        <v>207</v>
      </c>
      <c r="C18" s="36"/>
      <c r="D18" s="524">
        <v>-7761.3011161427248</v>
      </c>
      <c r="E18" s="524">
        <v>-8147.6790737114534</v>
      </c>
      <c r="F18" s="524">
        <v>-7399.6178421785553</v>
      </c>
      <c r="G18" s="524">
        <v>-7417.3445317605019</v>
      </c>
      <c r="H18" s="525">
        <v>-1945.6877509730577</v>
      </c>
      <c r="L18" s="124" t="str">
        <f t="shared" si="10"/>
        <v>General and administrative</v>
      </c>
      <c r="M18" s="36"/>
      <c r="N18" s="551">
        <f t="shared" ref="N18:N20" si="11">D18/D$13</f>
        <v>-0.28079848125930329</v>
      </c>
      <c r="O18" s="551">
        <f t="shared" ref="O18:O20" si="12">E18/E$13</f>
        <v>-0.28100679007704965</v>
      </c>
      <c r="P18" s="551">
        <f t="shared" ref="P18:P20" si="13">F18/F$13</f>
        <v>-0.24885826469313535</v>
      </c>
      <c r="Q18" s="551">
        <f t="shared" ref="Q18:Q20" si="14">G18/G$13</f>
        <v>-0.23762197889851022</v>
      </c>
      <c r="R18" s="552">
        <f t="shared" ref="R18:R20" si="15">H18/H$13</f>
        <v>-0.23618953522555453</v>
      </c>
      <c r="S18" s="553"/>
      <c r="T18" s="553"/>
      <c r="U18" s="554">
        <f>AVERAGE(N18:R18)</f>
        <v>-0.25689501003071058</v>
      </c>
      <c r="V18" s="554">
        <f t="shared" ref="V18:V26" si="16">AVERAGE(P18:R18)</f>
        <v>-0.24088992627240002</v>
      </c>
    </row>
    <row r="19" spans="2:22" s="3" customFormat="1" ht="12.75">
      <c r="B19" s="124" t="s">
        <v>206</v>
      </c>
      <c r="C19" s="36"/>
      <c r="D19" s="524">
        <v>-2478.609066123</v>
      </c>
      <c r="E19" s="524">
        <v>-4635.7484384910003</v>
      </c>
      <c r="F19" s="524">
        <v>-4715.1778929636648</v>
      </c>
      <c r="G19" s="524">
        <v>-5074.6389924682762</v>
      </c>
      <c r="H19" s="525">
        <v>-745.08968788227264</v>
      </c>
      <c r="L19" s="124" t="str">
        <f t="shared" si="10"/>
        <v>Sales and marketing</v>
      </c>
      <c r="M19" s="36"/>
      <c r="N19" s="551">
        <f t="shared" si="11"/>
        <v>-8.9674353692487205E-2</v>
      </c>
      <c r="O19" s="551">
        <f t="shared" si="12"/>
        <v>-0.15988317366452828</v>
      </c>
      <c r="P19" s="551">
        <f t="shared" si="13"/>
        <v>-0.15857724185076327</v>
      </c>
      <c r="Q19" s="551">
        <f t="shared" si="14"/>
        <v>-0.16257108651519619</v>
      </c>
      <c r="R19" s="552">
        <f t="shared" si="15"/>
        <v>-9.0447394241063059E-2</v>
      </c>
      <c r="S19" s="553"/>
      <c r="T19" s="553"/>
      <c r="U19" s="554">
        <f t="shared" ref="U19:U26" si="17">AVERAGE(N19:R19)</f>
        <v>-0.13223064999280759</v>
      </c>
      <c r="V19" s="554">
        <f t="shared" si="16"/>
        <v>-0.13719857420234086</v>
      </c>
    </row>
    <row r="20" spans="2:22" s="3" customFormat="1" ht="12.75">
      <c r="B20" s="124" t="s">
        <v>208</v>
      </c>
      <c r="C20" s="36"/>
      <c r="D20" s="524">
        <v>-2250.0262300249901</v>
      </c>
      <c r="E20" s="524">
        <v>-2290.0597286145539</v>
      </c>
      <c r="F20" s="524">
        <v>-2425.066335778195</v>
      </c>
      <c r="G20" s="524">
        <v>-2730.6217017080653</v>
      </c>
      <c r="H20" s="525">
        <v>-871.19859203899773</v>
      </c>
      <c r="L20" s="124" t="str">
        <f t="shared" si="10"/>
        <v>Research and development</v>
      </c>
      <c r="M20" s="36"/>
      <c r="N20" s="551">
        <f t="shared" si="11"/>
        <v>-8.14043855186245E-2</v>
      </c>
      <c r="O20" s="551">
        <f t="shared" si="12"/>
        <v>-7.8982287790276967E-2</v>
      </c>
      <c r="P20" s="551">
        <f t="shared" si="13"/>
        <v>-8.1557968662584787E-2</v>
      </c>
      <c r="Q20" s="551">
        <f t="shared" si="14"/>
        <v>-8.7478170874325356E-2</v>
      </c>
      <c r="R20" s="552">
        <f t="shared" si="15"/>
        <v>-0.10575591609699025</v>
      </c>
      <c r="S20" s="553"/>
      <c r="T20" s="553"/>
      <c r="U20" s="554">
        <f t="shared" si="17"/>
        <v>-8.7035745788560367E-2</v>
      </c>
      <c r="V20" s="554">
        <f t="shared" si="16"/>
        <v>-9.1597351877966804E-2</v>
      </c>
    </row>
    <row r="21" spans="2:22" s="3" customFormat="1" ht="12.75">
      <c r="B21" s="125" t="s">
        <v>324</v>
      </c>
      <c r="C21" s="405"/>
      <c r="D21" s="526">
        <f>SUM(D18:D20)</f>
        <v>-12489.936412290715</v>
      </c>
      <c r="E21" s="526">
        <f t="shared" ref="E21:H21" si="18">SUM(E18:E20)</f>
        <v>-15073.487240817009</v>
      </c>
      <c r="F21" s="526">
        <f t="shared" si="18"/>
        <v>-14539.862070920415</v>
      </c>
      <c r="G21" s="526">
        <f t="shared" si="18"/>
        <v>-15222.605225936843</v>
      </c>
      <c r="H21" s="527">
        <f t="shared" si="18"/>
        <v>-3561.9760308943278</v>
      </c>
      <c r="L21" s="124" t="str">
        <f t="shared" si="10"/>
        <v>Total Operating expenses</v>
      </c>
      <c r="M21" s="36"/>
      <c r="N21" s="551">
        <f t="shared" ref="N21" si="19">D21/D$13</f>
        <v>-0.45187722047041495</v>
      </c>
      <c r="O21" s="551">
        <f t="shared" ref="O21" si="20">E21/E$13</f>
        <v>-0.51987225153185501</v>
      </c>
      <c r="P21" s="551">
        <f t="shared" ref="P21" si="21">F21/F$13</f>
        <v>-0.4889934752064834</v>
      </c>
      <c r="Q21" s="551">
        <f t="shared" ref="Q21" si="22">G21/G$13</f>
        <v>-0.48767123628803172</v>
      </c>
      <c r="R21" s="552">
        <f t="shared" ref="R21" si="23">H21/H$13</f>
        <v>-0.4323928455636078</v>
      </c>
      <c r="S21" s="553"/>
      <c r="T21" s="553"/>
      <c r="U21" s="554"/>
      <c r="V21" s="554"/>
    </row>
    <row r="22" spans="2:22" s="3" customFormat="1" ht="12.75">
      <c r="B22" s="123" t="s">
        <v>65</v>
      </c>
      <c r="C22" s="36"/>
      <c r="D22" s="188">
        <f>D15+D21</f>
        <v>3307.9310064882866</v>
      </c>
      <c r="E22" s="188">
        <f t="shared" ref="E22:H22" si="24">E15+E21</f>
        <v>1868.1653890463858</v>
      </c>
      <c r="F22" s="188">
        <f t="shared" si="24"/>
        <v>4118.8298288686165</v>
      </c>
      <c r="G22" s="188">
        <f t="shared" si="24"/>
        <v>5544.4729497365934</v>
      </c>
      <c r="H22" s="201">
        <f t="shared" si="24"/>
        <v>1530.4693800001269</v>
      </c>
      <c r="L22" s="123" t="str">
        <f t="shared" si="10"/>
        <v>EBITDA</v>
      </c>
      <c r="M22" s="36"/>
      <c r="N22" s="555">
        <f t="shared" ref="N22:R22" si="25">D22/D$13</f>
        <v>0.11967864522103515</v>
      </c>
      <c r="O22" s="555">
        <f t="shared" si="25"/>
        <v>6.4431496940371397E-2</v>
      </c>
      <c r="P22" s="555">
        <f t="shared" si="25"/>
        <v>0.13852132172771656</v>
      </c>
      <c r="Q22" s="555">
        <f t="shared" si="25"/>
        <v>0.17762268270326179</v>
      </c>
      <c r="R22" s="556">
        <f t="shared" si="25"/>
        <v>0.18578564384670274</v>
      </c>
      <c r="S22" s="553"/>
      <c r="T22" s="553"/>
      <c r="U22" s="554">
        <f t="shared" si="17"/>
        <v>0.13720795808781752</v>
      </c>
      <c r="V22" s="554">
        <f t="shared" si="16"/>
        <v>0.16730988275922701</v>
      </c>
    </row>
    <row r="23" spans="2:22" s="3" customFormat="1" ht="9.9499999999999993" customHeight="1">
      <c r="B23" s="124"/>
      <c r="C23" s="36"/>
      <c r="D23" s="187"/>
      <c r="E23" s="187"/>
      <c r="F23" s="187"/>
      <c r="G23" s="187"/>
      <c r="H23" s="202"/>
      <c r="L23" s="124"/>
      <c r="M23" s="36"/>
      <c r="N23" s="551"/>
      <c r="O23" s="551"/>
      <c r="P23" s="551"/>
      <c r="Q23" s="551"/>
      <c r="R23" s="552"/>
      <c r="S23" s="553"/>
      <c r="T23" s="553"/>
      <c r="U23" s="554"/>
      <c r="V23" s="554"/>
    </row>
    <row r="24" spans="2:22" s="3" customFormat="1" ht="12.75">
      <c r="B24" s="124" t="s">
        <v>66</v>
      </c>
      <c r="C24" s="36"/>
      <c r="D24" s="524">
        <v>-1377.005036735</v>
      </c>
      <c r="E24" s="524">
        <v>-1236.1995835976004</v>
      </c>
      <c r="F24" s="524">
        <v>-1403.3757976545537</v>
      </c>
      <c r="G24" s="524">
        <v>-1191.4963308227589</v>
      </c>
      <c r="H24" s="525">
        <v>-237.52830636468178</v>
      </c>
      <c r="L24" s="124" t="str">
        <f t="shared" ref="L24:L26" si="26">B24</f>
        <v>Depreciation</v>
      </c>
      <c r="M24" s="36"/>
      <c r="N24" s="551">
        <f t="shared" ref="N24:N26" si="27">D24/D$13</f>
        <v>-4.9819085384715113E-2</v>
      </c>
      <c r="O24" s="551">
        <f t="shared" ref="O24:O26" si="28">E24/E$13</f>
        <v>-4.2635512977207558E-2</v>
      </c>
      <c r="P24" s="551">
        <f t="shared" ref="P24:P26" si="29">F24/F$13</f>
        <v>-4.7197257096973949E-2</v>
      </c>
      <c r="Q24" s="551">
        <f t="shared" ref="Q24:Q26" si="30">G24/G$13</f>
        <v>-3.8170765125995605E-2</v>
      </c>
      <c r="R24" s="552">
        <f t="shared" ref="R24:R26" si="31">H24/H$13</f>
        <v>-2.8833866202390541E-2</v>
      </c>
      <c r="S24" s="553"/>
      <c r="T24" s="553"/>
      <c r="U24" s="554">
        <f t="shared" si="17"/>
        <v>-4.1331297357456553E-2</v>
      </c>
      <c r="V24" s="554">
        <f t="shared" si="16"/>
        <v>-3.8067296141786694E-2</v>
      </c>
    </row>
    <row r="25" spans="2:22" s="3" customFormat="1" ht="12.75">
      <c r="B25" s="124" t="s">
        <v>67</v>
      </c>
      <c r="C25" s="36"/>
      <c r="D25" s="199">
        <v>0</v>
      </c>
      <c r="E25" s="199">
        <v>0</v>
      </c>
      <c r="F25" s="199">
        <v>0</v>
      </c>
      <c r="G25" s="199">
        <v>0</v>
      </c>
      <c r="H25" s="200">
        <v>0</v>
      </c>
      <c r="L25" s="124" t="str">
        <f t="shared" si="26"/>
        <v>Amortization</v>
      </c>
      <c r="M25" s="36"/>
      <c r="N25" s="551">
        <f t="shared" si="27"/>
        <v>0</v>
      </c>
      <c r="O25" s="551">
        <f t="shared" si="28"/>
        <v>0</v>
      </c>
      <c r="P25" s="551">
        <f t="shared" si="29"/>
        <v>0</v>
      </c>
      <c r="Q25" s="551">
        <f t="shared" si="30"/>
        <v>0</v>
      </c>
      <c r="R25" s="552">
        <f t="shared" si="31"/>
        <v>0</v>
      </c>
      <c r="S25" s="553"/>
      <c r="T25" s="553"/>
      <c r="U25" s="554">
        <f t="shared" si="17"/>
        <v>0</v>
      </c>
      <c r="V25" s="554">
        <f t="shared" si="16"/>
        <v>0</v>
      </c>
    </row>
    <row r="26" spans="2:22" s="3" customFormat="1" ht="12.75">
      <c r="B26" s="123" t="s">
        <v>68</v>
      </c>
      <c r="C26" s="183"/>
      <c r="D26" s="188">
        <f>SUM(D22:D25)</f>
        <v>1930.9259697532866</v>
      </c>
      <c r="E26" s="188">
        <f t="shared" ref="E26:H26" si="32">SUM(E22:E25)</f>
        <v>631.96580544878543</v>
      </c>
      <c r="F26" s="188">
        <f t="shared" si="32"/>
        <v>2715.4540312140625</v>
      </c>
      <c r="G26" s="188">
        <f t="shared" si="32"/>
        <v>4352.9766189138345</v>
      </c>
      <c r="H26" s="201">
        <f t="shared" si="32"/>
        <v>1292.941073635445</v>
      </c>
      <c r="L26" s="123" t="str">
        <f t="shared" si="26"/>
        <v>EBIT</v>
      </c>
      <c r="M26" s="183"/>
      <c r="N26" s="555">
        <f t="shared" si="27"/>
        <v>6.9859559836320043E-2</v>
      </c>
      <c r="O26" s="555">
        <f t="shared" si="28"/>
        <v>2.1795983963163842E-2</v>
      </c>
      <c r="P26" s="555">
        <f t="shared" si="29"/>
        <v>9.1324064630742607E-2</v>
      </c>
      <c r="Q26" s="555">
        <f t="shared" si="30"/>
        <v>0.13945191757726619</v>
      </c>
      <c r="R26" s="556">
        <f t="shared" si="31"/>
        <v>0.1569517776443122</v>
      </c>
      <c r="S26" s="553"/>
      <c r="T26" s="553"/>
      <c r="U26" s="554">
        <f t="shared" si="17"/>
        <v>9.5876660730360982E-2</v>
      </c>
      <c r="V26" s="554">
        <f t="shared" si="16"/>
        <v>0.12924258661744034</v>
      </c>
    </row>
    <row r="27" spans="2:22" s="3" customFormat="1" ht="9.9499999999999993" customHeight="1">
      <c r="B27" s="124"/>
      <c r="C27" s="36"/>
      <c r="D27" s="187"/>
      <c r="E27" s="187"/>
      <c r="F27" s="187"/>
      <c r="G27" s="187"/>
      <c r="H27" s="202"/>
      <c r="L27" s="124"/>
      <c r="M27" s="36"/>
      <c r="N27" s="551"/>
      <c r="O27" s="551"/>
      <c r="P27" s="551"/>
      <c r="Q27" s="551"/>
      <c r="R27" s="552"/>
      <c r="S27" s="553"/>
      <c r="T27" s="553"/>
      <c r="U27" s="553"/>
      <c r="V27" s="553"/>
    </row>
    <row r="28" spans="2:22" s="3" customFormat="1" ht="12.75">
      <c r="B28" s="124" t="s">
        <v>69</v>
      </c>
      <c r="C28" s="203">
        <f>tax_rate</f>
        <v>0.26140000000000002</v>
      </c>
      <c r="D28" s="528">
        <f>-$C$28*MAX(D26,0)</f>
        <v>-504.74404849350918</v>
      </c>
      <c r="E28" s="528">
        <f t="shared" ref="E28:H28" si="33">-$C$28*MAX(E26,0)</f>
        <v>-165.19586154431252</v>
      </c>
      <c r="F28" s="528">
        <f t="shared" si="33"/>
        <v>-709.81968375935605</v>
      </c>
      <c r="G28" s="528">
        <f t="shared" si="33"/>
        <v>-1137.8680881840764</v>
      </c>
      <c r="H28" s="529">
        <f t="shared" si="33"/>
        <v>-337.97479664830536</v>
      </c>
      <c r="L28" s="124" t="str">
        <f t="shared" ref="L28:L29" si="34">B28</f>
        <v>Taxes</v>
      </c>
      <c r="M28" s="203"/>
      <c r="N28" s="551">
        <f t="shared" ref="N28:N29" si="35">D28/D$13</f>
        <v>-1.8261288941214062E-2</v>
      </c>
      <c r="O28" s="551">
        <f t="shared" ref="O28:O29" si="36">E28/E$13</f>
        <v>-5.6974702079710289E-3</v>
      </c>
      <c r="P28" s="551">
        <f t="shared" ref="P28:P29" si="37">F28/F$13</f>
        <v>-2.3872110494476122E-2</v>
      </c>
      <c r="Q28" s="551">
        <f t="shared" ref="Q28:Q29" si="38">G28/G$13</f>
        <v>-3.6452731254697383E-2</v>
      </c>
      <c r="R28" s="552">
        <f t="shared" ref="R28:R29" si="39">H28/H$13</f>
        <v>-4.1027194676223212E-2</v>
      </c>
      <c r="S28" s="553"/>
      <c r="T28" s="553"/>
      <c r="U28" s="553"/>
      <c r="V28" s="553"/>
    </row>
    <row r="29" spans="2:22" s="3" customFormat="1" ht="13.5" thickBot="1">
      <c r="B29" s="204" t="s">
        <v>70</v>
      </c>
      <c r="C29" s="205"/>
      <c r="D29" s="206">
        <f>SUM(D26:D28)</f>
        <v>1426.1819212597775</v>
      </c>
      <c r="E29" s="206">
        <f t="shared" ref="E29:H29" si="40">SUM(E26:E28)</f>
        <v>466.76994390447294</v>
      </c>
      <c r="F29" s="206">
        <f t="shared" si="40"/>
        <v>2005.6343474547066</v>
      </c>
      <c r="G29" s="206">
        <f t="shared" si="40"/>
        <v>3215.1085307297581</v>
      </c>
      <c r="H29" s="207">
        <f t="shared" si="40"/>
        <v>954.96627698713974</v>
      </c>
      <c r="L29" s="204" t="str">
        <f t="shared" si="34"/>
        <v>Net Income</v>
      </c>
      <c r="M29" s="205"/>
      <c r="N29" s="557">
        <f t="shared" si="35"/>
        <v>5.1598270895105984E-2</v>
      </c>
      <c r="O29" s="557">
        <f t="shared" si="36"/>
        <v>1.6098513755192813E-2</v>
      </c>
      <c r="P29" s="557">
        <f t="shared" si="37"/>
        <v>6.7451954136266493E-2</v>
      </c>
      <c r="Q29" s="557">
        <f t="shared" si="38"/>
        <v>0.1029991863225688</v>
      </c>
      <c r="R29" s="558">
        <f t="shared" si="39"/>
        <v>0.115924582968089</v>
      </c>
      <c r="S29" s="553"/>
      <c r="T29" s="553"/>
      <c r="U29" s="553"/>
      <c r="V29" s="553"/>
    </row>
    <row r="30" spans="2:22" s="3" customFormat="1" ht="13.5" thickBot="1"/>
    <row r="31" spans="2:22" s="3" customFormat="1" ht="12.75">
      <c r="B31" s="143" t="s">
        <v>71</v>
      </c>
      <c r="C31" s="59"/>
      <c r="D31" s="59"/>
      <c r="E31" s="59"/>
      <c r="F31" s="59"/>
      <c r="G31" s="59"/>
      <c r="H31" s="210"/>
    </row>
    <row r="32" spans="2:22" s="3" customFormat="1" ht="12.75">
      <c r="B32" s="211" t="s">
        <v>321</v>
      </c>
      <c r="C32" s="190"/>
      <c r="D32" s="212" t="s">
        <v>309</v>
      </c>
      <c r="E32" s="549">
        <f t="shared" ref="E32:G34" si="41">E11/D11-1</f>
        <v>7.683014558751089E-2</v>
      </c>
      <c r="F32" s="549">
        <f t="shared" si="41"/>
        <v>4.0513375203793167E-2</v>
      </c>
      <c r="G32" s="549">
        <f t="shared" si="41"/>
        <v>7.7200223146914881E-2</v>
      </c>
      <c r="H32" s="381" t="s">
        <v>309</v>
      </c>
    </row>
    <row r="33" spans="2:12" s="3" customFormat="1" ht="12.75">
      <c r="B33" s="211" t="s">
        <v>322</v>
      </c>
      <c r="C33" s="190"/>
      <c r="D33" s="212" t="s">
        <v>309</v>
      </c>
      <c r="E33" s="549">
        <f t="shared" si="41"/>
        <v>2.6593425840477636E-3</v>
      </c>
      <c r="F33" s="549">
        <f t="shared" si="41"/>
        <v>-1.3259138286193517E-3</v>
      </c>
      <c r="G33" s="549">
        <f t="shared" si="41"/>
        <v>-1.2791574273817163E-3</v>
      </c>
      <c r="H33" s="381" t="s">
        <v>309</v>
      </c>
    </row>
    <row r="34" spans="2:12" s="3" customFormat="1" ht="12.75">
      <c r="B34" s="211" t="s">
        <v>72</v>
      </c>
      <c r="C34" s="190"/>
      <c r="D34" s="212" t="s">
        <v>309</v>
      </c>
      <c r="E34" s="549">
        <f t="shared" si="41"/>
        <v>4.9004428681233225E-2</v>
      </c>
      <c r="F34" s="549">
        <f t="shared" si="41"/>
        <v>2.5510525428305897E-2</v>
      </c>
      <c r="G34" s="549">
        <f t="shared" si="41"/>
        <v>4.979529360116719E-2</v>
      </c>
      <c r="H34" s="381" t="s">
        <v>309</v>
      </c>
    </row>
    <row r="35" spans="2:12" s="3" customFormat="1" ht="12.75">
      <c r="B35" s="211" t="s">
        <v>307</v>
      </c>
      <c r="C35" s="190"/>
      <c r="D35" s="379" t="s">
        <v>309</v>
      </c>
      <c r="E35" s="549">
        <f>E22/D22-1</f>
        <v>-0.43524656790540561</v>
      </c>
      <c r="F35" s="549">
        <f t="shared" ref="F35:G35" si="42">F22/E22-1</f>
        <v>1.2047458180194064</v>
      </c>
      <c r="G35" s="549">
        <f t="shared" si="42"/>
        <v>0.34612819176838405</v>
      </c>
      <c r="H35" s="381" t="s">
        <v>309</v>
      </c>
    </row>
    <row r="36" spans="2:12" s="3" customFormat="1" ht="13.5" thickBot="1">
      <c r="B36" s="213" t="s">
        <v>308</v>
      </c>
      <c r="C36" s="116"/>
      <c r="D36" s="380" t="s">
        <v>309</v>
      </c>
      <c r="E36" s="550">
        <f>E26/D26-1</f>
        <v>-0.67271360199814834</v>
      </c>
      <c r="F36" s="550">
        <f t="shared" ref="F36:G36" si="43">F26/E26-1</f>
        <v>3.2968369614329127</v>
      </c>
      <c r="G36" s="550">
        <f t="shared" si="43"/>
        <v>0.60303822818449482</v>
      </c>
      <c r="H36" s="382" t="s">
        <v>309</v>
      </c>
    </row>
    <row r="37" spans="2:12" s="3" customFormat="1" ht="12.75"/>
    <row r="38" spans="2:12" s="3" customFormat="1" ht="12.75"/>
    <row r="39" spans="2:12" s="3" customFormat="1" ht="12.75">
      <c r="L39" s="3">
        <v>1.0001</v>
      </c>
    </row>
    <row r="40" spans="2:12" s="3" customFormat="1" ht="12.75">
      <c r="H40" s="44"/>
    </row>
    <row r="41" spans="2:12" s="3" customFormat="1" ht="12.75">
      <c r="H41" s="44"/>
    </row>
    <row r="42" spans="2:12" s="3" customFormat="1" ht="12.75">
      <c r="H42" s="44"/>
    </row>
    <row r="43" spans="2:12" s="3" customFormat="1" ht="12.75"/>
    <row r="44" spans="2:12" s="3" customFormat="1" ht="12.75"/>
    <row r="45" spans="2:12" s="3" customFormat="1" ht="12.75"/>
    <row r="46" spans="2:12" s="3" customFormat="1" ht="12.75"/>
    <row r="47" spans="2:12" s="3" customFormat="1" ht="12.75"/>
    <row r="48" spans="2:12" s="3" customFormat="1" ht="12.75"/>
    <row r="49" s="3" customFormat="1" ht="12.75"/>
    <row r="50" s="3" customFormat="1" ht="12.75"/>
    <row r="51" s="3" customFormat="1" ht="12.75"/>
    <row r="52" s="3" customFormat="1" ht="12.75"/>
    <row r="53" s="3" customFormat="1" ht="12.75"/>
    <row r="54" s="3" customFormat="1" ht="12.75"/>
    <row r="55" s="3" customFormat="1" ht="12.75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2.75"/>
    <row r="65" s="3" customFormat="1" ht="12.75"/>
  </sheetData>
  <pageMargins left="0.5" right="0.5" top="0.5" bottom="0.5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59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34" customWidth="1"/>
    <col min="3" max="3" width="12.5703125" customWidth="1"/>
    <col min="4" max="8" width="14.7109375" customWidth="1"/>
    <col min="9" max="9" width="2.7109375" customWidth="1"/>
    <col min="11" max="11" width="3.5703125" customWidth="1"/>
    <col min="12" max="12" width="34" customWidth="1"/>
    <col min="13" max="13" width="12.5703125" customWidth="1"/>
    <col min="14" max="18" width="14.7109375" customWidth="1"/>
    <col min="19" max="19" width="2.7109375" customWidth="1"/>
  </cols>
  <sheetData>
    <row r="1" spans="1:20" ht="15.75">
      <c r="A1" s="2"/>
      <c r="B1" s="18" t="str">
        <f>Acq_name</f>
        <v>[Acq.Co. Holdings Ltd.]</v>
      </c>
      <c r="H1" s="34" t="str">
        <f>"Exhibit: "&amp;INDEX(TOC!$B$5:$E$34,MATCH($B$3,TOC!$E$5:$E$36,0),COLUMNS(TOC!D5))&amp;J1</f>
        <v>Exhibit: G.1</v>
      </c>
      <c r="J1" s="377" t="s">
        <v>304</v>
      </c>
      <c r="K1" s="2"/>
      <c r="L1" s="18" t="str">
        <f>B1</f>
        <v>[Acq.Co. Holdings Ltd.]</v>
      </c>
      <c r="R1" s="34" t="str">
        <f>"Exhibit: "&amp;INDEX(TOC!$B$5:$E$34,MATCH($B$3,TOC!$E$5:$E$36,0),COLUMNS(TOC!M5))&amp;T1</f>
        <v>Exhibit: G.2</v>
      </c>
      <c r="T1" s="377" t="s">
        <v>305</v>
      </c>
    </row>
    <row r="2" spans="1:20">
      <c r="A2" s="2"/>
      <c r="B2" s="19" t="str">
        <f>Targ_name</f>
        <v>[ABC Corporation]</v>
      </c>
      <c r="I2" s="395" t="str">
        <f>IF(SUM(D51:H51)&gt;0,"ERROR","")</f>
        <v/>
      </c>
      <c r="K2" s="2"/>
      <c r="L2" s="19" t="str">
        <f t="shared" ref="L2:L5" si="0">B2</f>
        <v>[ABC Corporation]</v>
      </c>
    </row>
    <row r="3" spans="1:20">
      <c r="A3" s="2"/>
      <c r="B3" s="20" t="str">
        <f>TOC!E17</f>
        <v>Historical Balance Sheet</v>
      </c>
      <c r="K3" s="2"/>
      <c r="L3" s="20" t="str">
        <f>B3&amp;" - CommonSize"</f>
        <v>Historical Balance Sheet - CommonSize</v>
      </c>
    </row>
    <row r="4" spans="1:20">
      <c r="B4" s="25" t="str">
        <f>"Valuation as of "&amp;TEXT(Val_date,"DD MMMM YYYY")</f>
        <v>Valuation as of 31 March 2020</v>
      </c>
      <c r="L4" s="25" t="str">
        <f t="shared" si="0"/>
        <v>Valuation as of 31 March 2020</v>
      </c>
    </row>
    <row r="5" spans="1:20">
      <c r="B5" s="27" t="str">
        <f>'Key Inputs and Assumptions'!C24</f>
        <v>(in USD ‘000s unless specified otherwise)</v>
      </c>
      <c r="L5" s="27" t="str">
        <f t="shared" si="0"/>
        <v>(in USD ‘000s unless specified otherwise)</v>
      </c>
    </row>
    <row r="6" spans="1:20" ht="15.75" thickBot="1"/>
    <row r="7" spans="1:20">
      <c r="B7" s="117" t="s">
        <v>180</v>
      </c>
      <c r="C7" s="118"/>
      <c r="D7" s="770" t="s">
        <v>204</v>
      </c>
      <c r="E7" s="770"/>
      <c r="F7" s="770"/>
      <c r="G7" s="770"/>
      <c r="H7" s="214" t="str">
        <f>TEXT(TTM,"MMMM DD,")</f>
        <v>March 31,</v>
      </c>
      <c r="L7" s="117" t="s">
        <v>180</v>
      </c>
      <c r="M7" s="118"/>
      <c r="N7" s="770" t="s">
        <v>204</v>
      </c>
      <c r="O7" s="770"/>
      <c r="P7" s="770"/>
      <c r="Q7" s="770"/>
      <c r="R7" s="214" t="s">
        <v>310</v>
      </c>
    </row>
    <row r="8" spans="1:20">
      <c r="B8" s="196"/>
      <c r="C8" s="35"/>
      <c r="D8" s="197">
        <f>E8-1</f>
        <v>2016</v>
      </c>
      <c r="E8" s="197">
        <f>F8-1</f>
        <v>2017</v>
      </c>
      <c r="F8" s="197">
        <f>G8-1</f>
        <v>2018</v>
      </c>
      <c r="G8" s="197">
        <f>YEAR(LFY)</f>
        <v>2019</v>
      </c>
      <c r="H8" s="198">
        <f>YEAR(TTM)</f>
        <v>2020</v>
      </c>
      <c r="L8" s="196"/>
      <c r="M8" s="35"/>
      <c r="N8" s="197">
        <v>2016</v>
      </c>
      <c r="O8" s="197">
        <v>2017</v>
      </c>
      <c r="P8" s="197">
        <v>2018</v>
      </c>
      <c r="Q8" s="197">
        <v>2019</v>
      </c>
      <c r="R8" s="198">
        <v>2020</v>
      </c>
    </row>
    <row r="9" spans="1:20" s="3" customFormat="1" ht="5.0999999999999996" customHeight="1">
      <c r="B9" s="124"/>
      <c r="C9" s="36"/>
      <c r="D9" s="36"/>
      <c r="E9" s="36"/>
      <c r="F9" s="36"/>
      <c r="G9" s="36"/>
      <c r="H9" s="179"/>
      <c r="L9" s="124"/>
      <c r="M9" s="36"/>
      <c r="N9" s="36"/>
      <c r="O9" s="36"/>
      <c r="P9" s="36"/>
      <c r="Q9" s="36"/>
      <c r="R9" s="179"/>
    </row>
    <row r="10" spans="1:20" s="3" customFormat="1" ht="12" customHeight="1">
      <c r="B10" s="215" t="s">
        <v>183</v>
      </c>
      <c r="C10" s="120"/>
      <c r="D10" s="216"/>
      <c r="E10" s="216"/>
      <c r="F10" s="216"/>
      <c r="G10" s="216"/>
      <c r="H10" s="217"/>
      <c r="L10" s="215" t="str">
        <f t="shared" ref="L10:L24" si="1">B10</f>
        <v>Current Assets</v>
      </c>
      <c r="M10" s="120"/>
      <c r="N10" s="216"/>
      <c r="O10" s="216"/>
      <c r="P10" s="216"/>
      <c r="Q10" s="216"/>
      <c r="R10" s="217"/>
    </row>
    <row r="11" spans="1:20" s="3" customFormat="1" ht="12" customHeight="1">
      <c r="B11" s="119" t="s">
        <v>184</v>
      </c>
      <c r="C11" s="120"/>
      <c r="D11" s="129">
        <v>11146.495000000001</v>
      </c>
      <c r="E11" s="129">
        <v>10275.67</v>
      </c>
      <c r="F11" s="129">
        <v>13017.32</v>
      </c>
      <c r="G11" s="129">
        <v>13066.1</v>
      </c>
      <c r="H11" s="130">
        <v>13801.88</v>
      </c>
      <c r="L11" s="119" t="str">
        <f t="shared" si="1"/>
        <v>Cash and Cash Equivalents</v>
      </c>
      <c r="M11" s="120"/>
      <c r="N11" s="386">
        <f t="shared" ref="N11:N16" si="2">D11/D$24</f>
        <v>0.18562585051768812</v>
      </c>
      <c r="O11" s="386">
        <f t="shared" ref="O11:R16" si="3">E11/E$24</f>
        <v>0.16339390484617908</v>
      </c>
      <c r="P11" s="386">
        <f t="shared" si="3"/>
        <v>0.19756462128546998</v>
      </c>
      <c r="Q11" s="386">
        <f t="shared" si="3"/>
        <v>0.20304296050410647</v>
      </c>
      <c r="R11" s="387">
        <f t="shared" si="3"/>
        <v>0.21511989362997533</v>
      </c>
    </row>
    <row r="12" spans="1:20" s="3" customFormat="1" ht="12" customHeight="1">
      <c r="B12" s="119" t="s">
        <v>562</v>
      </c>
      <c r="C12" s="120"/>
      <c r="D12" s="129">
        <v>2797.26</v>
      </c>
      <c r="E12" s="129">
        <v>3764.63</v>
      </c>
      <c r="F12" s="129">
        <v>3829.89</v>
      </c>
      <c r="G12" s="129">
        <v>3624.28</v>
      </c>
      <c r="H12" s="130">
        <v>3012.67</v>
      </c>
      <c r="L12" s="119" t="str">
        <f t="shared" si="1"/>
        <v>Marketable Securities</v>
      </c>
      <c r="M12" s="120"/>
      <c r="N12" s="386">
        <f t="shared" si="2"/>
        <v>4.6583591220299141E-2</v>
      </c>
      <c r="O12" s="386">
        <f t="shared" si="3"/>
        <v>5.9861556083551842E-2</v>
      </c>
      <c r="P12" s="386">
        <f t="shared" si="3"/>
        <v>5.8126462852185291E-2</v>
      </c>
      <c r="Q12" s="386">
        <f t="shared" si="3"/>
        <v>5.6320136911230056E-2</v>
      </c>
      <c r="R12" s="387">
        <f t="shared" si="3"/>
        <v>4.6956302325640985E-2</v>
      </c>
    </row>
    <row r="13" spans="1:20" s="3" customFormat="1" ht="12" customHeight="1">
      <c r="B13" s="119" t="s">
        <v>312</v>
      </c>
      <c r="C13" s="120"/>
      <c r="D13" s="129">
        <v>3582.98</v>
      </c>
      <c r="E13" s="129">
        <v>3617.63</v>
      </c>
      <c r="F13" s="129">
        <v>3698.33</v>
      </c>
      <c r="G13" s="129">
        <v>3703.2750000000001</v>
      </c>
      <c r="H13" s="130">
        <v>3602.22</v>
      </c>
      <c r="L13" s="119" t="str">
        <f t="shared" ref="L13" si="4">B13</f>
        <v>Inventories</v>
      </c>
      <c r="M13" s="120"/>
      <c r="N13" s="386">
        <f t="shared" si="2"/>
        <v>5.9668416833082161E-2</v>
      </c>
      <c r="O13" s="386">
        <f t="shared" si="3"/>
        <v>5.7524102271548506E-2</v>
      </c>
      <c r="P13" s="386">
        <f t="shared" si="3"/>
        <v>5.6129769095227912E-2</v>
      </c>
      <c r="Q13" s="386">
        <f t="shared" si="3"/>
        <v>5.7547693616369452E-2</v>
      </c>
      <c r="R13" s="387">
        <f t="shared" si="3"/>
        <v>5.6145190599524823E-2</v>
      </c>
    </row>
    <row r="14" spans="1:20" s="3" customFormat="1" ht="12" customHeight="1">
      <c r="B14" s="119" t="s">
        <v>185</v>
      </c>
      <c r="C14" s="120"/>
      <c r="D14" s="129">
        <v>2823.74</v>
      </c>
      <c r="E14" s="129">
        <v>2879.08</v>
      </c>
      <c r="F14" s="129">
        <v>2618.4</v>
      </c>
      <c r="G14" s="129">
        <v>2397.42</v>
      </c>
      <c r="H14" s="130">
        <v>2270.44</v>
      </c>
      <c r="L14" s="119" t="str">
        <f t="shared" si="1"/>
        <v>Accounts Receivable</v>
      </c>
      <c r="M14" s="120"/>
      <c r="N14" s="386">
        <f t="shared" si="2"/>
        <v>4.7024570426920445E-2</v>
      </c>
      <c r="O14" s="386">
        <f t="shared" si="3"/>
        <v>4.5780384497024262E-2</v>
      </c>
      <c r="P14" s="386">
        <f t="shared" si="3"/>
        <v>3.9739608796117376E-2</v>
      </c>
      <c r="Q14" s="386">
        <f t="shared" si="3"/>
        <v>3.725513002133421E-2</v>
      </c>
      <c r="R14" s="387">
        <f t="shared" si="3"/>
        <v>3.5387701624216499E-2</v>
      </c>
    </row>
    <row r="15" spans="1:20" s="3" customFormat="1" ht="12.75">
      <c r="B15" s="119" t="s">
        <v>186</v>
      </c>
      <c r="C15" s="120"/>
      <c r="D15" s="129">
        <v>267.83499999999998</v>
      </c>
      <c r="E15" s="129">
        <v>251.05</v>
      </c>
      <c r="F15" s="129">
        <v>284.62</v>
      </c>
      <c r="G15" s="129">
        <v>294.935</v>
      </c>
      <c r="H15" s="130">
        <v>299.25</v>
      </c>
      <c r="L15" s="119" t="str">
        <f t="shared" si="1"/>
        <v>Prepaid Expenses and Other Current Assets</v>
      </c>
      <c r="M15" s="120"/>
      <c r="N15" s="386">
        <f t="shared" si="2"/>
        <v>4.46033481138286E-3</v>
      </c>
      <c r="O15" s="386">
        <f t="shared" si="3"/>
        <v>3.9919576836968552E-3</v>
      </c>
      <c r="P15" s="386">
        <f t="shared" si="3"/>
        <v>4.3196942619733144E-3</v>
      </c>
      <c r="Q15" s="386">
        <f t="shared" si="3"/>
        <v>4.5831943392656291E-3</v>
      </c>
      <c r="R15" s="387">
        <f t="shared" si="3"/>
        <v>4.6641927164103817E-3</v>
      </c>
    </row>
    <row r="16" spans="1:20" s="3" customFormat="1" ht="12.75">
      <c r="B16" s="218" t="s">
        <v>187</v>
      </c>
      <c r="C16" s="219"/>
      <c r="D16" s="220">
        <f>SUM(D11:D15)</f>
        <v>20618.309999999998</v>
      </c>
      <c r="E16" s="220">
        <f>SUM(E11:E15)</f>
        <v>20788.060000000001</v>
      </c>
      <c r="F16" s="220">
        <f>SUM(F11:F15)</f>
        <v>23448.560000000001</v>
      </c>
      <c r="G16" s="220">
        <f>SUM(G11:G15)</f>
        <v>23086.010000000006</v>
      </c>
      <c r="H16" s="221">
        <f>SUM(H11:H15)</f>
        <v>22986.46</v>
      </c>
      <c r="L16" s="218" t="str">
        <f t="shared" si="1"/>
        <v>Total Current Assets</v>
      </c>
      <c r="M16" s="219"/>
      <c r="N16" s="388">
        <f t="shared" si="2"/>
        <v>0.3433627638093727</v>
      </c>
      <c r="O16" s="388">
        <f t="shared" si="3"/>
        <v>0.33055190538200058</v>
      </c>
      <c r="P16" s="388">
        <f t="shared" si="3"/>
        <v>0.35588015629097391</v>
      </c>
      <c r="Q16" s="388">
        <f t="shared" si="3"/>
        <v>0.35874911539230592</v>
      </c>
      <c r="R16" s="389">
        <f t="shared" si="3"/>
        <v>0.35827328089576799</v>
      </c>
    </row>
    <row r="17" spans="2:18" s="3" customFormat="1" ht="12.75">
      <c r="B17" s="222" t="s">
        <v>374</v>
      </c>
      <c r="C17" s="223"/>
      <c r="D17" s="224"/>
      <c r="E17" s="224"/>
      <c r="F17" s="224"/>
      <c r="G17" s="224"/>
      <c r="H17" s="225"/>
      <c r="L17" s="222" t="str">
        <f t="shared" si="1"/>
        <v>Non-Current Assets</v>
      </c>
      <c r="M17" s="223"/>
      <c r="N17" s="390"/>
      <c r="O17" s="390"/>
      <c r="P17" s="390"/>
      <c r="Q17" s="390"/>
      <c r="R17" s="391"/>
    </row>
    <row r="18" spans="2:18" s="3" customFormat="1" ht="12.75">
      <c r="B18" s="119" t="s">
        <v>313</v>
      </c>
      <c r="C18" s="120"/>
      <c r="D18" s="129">
        <v>18323.2</v>
      </c>
      <c r="E18" s="129">
        <v>18829.510000000002</v>
      </c>
      <c r="F18" s="129">
        <v>19345.91</v>
      </c>
      <c r="G18" s="129">
        <v>19350.91</v>
      </c>
      <c r="H18" s="130">
        <v>19355.810000000001</v>
      </c>
      <c r="J18" s="398"/>
      <c r="L18" s="119" t="str">
        <f t="shared" si="1"/>
        <v>Land and Building</v>
      </c>
      <c r="M18" s="120"/>
      <c r="N18" s="559">
        <f>D18/D$24</f>
        <v>0.30514162382037607</v>
      </c>
      <c r="O18" s="559">
        <f t="shared" ref="O18:O21" si="5">E18/E$24</f>
        <v>0.29940891107248269</v>
      </c>
      <c r="P18" s="559">
        <f t="shared" ref="P18:P21" si="6">F18/F$24</f>
        <v>0.29361399908527919</v>
      </c>
      <c r="Q18" s="559">
        <f t="shared" ref="Q18:Q21" si="7">G18/G$24</f>
        <v>0.30070687158742998</v>
      </c>
      <c r="R18" s="560">
        <f t="shared" ref="R18:R21" si="8">H18/H$24</f>
        <v>0.30168497250534082</v>
      </c>
    </row>
    <row r="19" spans="2:18" s="3" customFormat="1" ht="12.75">
      <c r="B19" s="119" t="s">
        <v>314</v>
      </c>
      <c r="C19" s="120"/>
      <c r="D19" s="129">
        <v>15404.332776880321</v>
      </c>
      <c r="E19" s="129">
        <v>17442.852776880321</v>
      </c>
      <c r="F19" s="129">
        <v>17394.067776880322</v>
      </c>
      <c r="G19" s="129">
        <v>17594.0677768803</v>
      </c>
      <c r="H19" s="130">
        <v>17922.322776880323</v>
      </c>
      <c r="J19" s="398"/>
      <c r="L19" s="119" t="str">
        <f t="shared" ref="L19:L21" si="9">B19</f>
        <v>Plant and Equipment</v>
      </c>
      <c r="M19" s="120"/>
      <c r="N19" s="559">
        <f t="shared" ref="N19:N21" si="10">D19/D$24</f>
        <v>0.25653287184589507</v>
      </c>
      <c r="O19" s="559">
        <f t="shared" si="5"/>
        <v>0.27735961030974077</v>
      </c>
      <c r="P19" s="559">
        <f t="shared" si="6"/>
        <v>0.2639907763620436</v>
      </c>
      <c r="Q19" s="559">
        <f t="shared" si="7"/>
        <v>0.27340611266771869</v>
      </c>
      <c r="R19" s="560">
        <f t="shared" si="8"/>
        <v>0.27934224680728853</v>
      </c>
    </row>
    <row r="20" spans="2:18" s="3" customFormat="1" ht="12.75">
      <c r="B20" s="119" t="s">
        <v>316</v>
      </c>
      <c r="C20" s="120"/>
      <c r="D20" s="530">
        <v>-6099.67</v>
      </c>
      <c r="E20" s="531">
        <f>D20+'Historical IS'!E24</f>
        <v>-7335.8695835976005</v>
      </c>
      <c r="F20" s="531">
        <f>E20+'Historical IS'!F24</f>
        <v>-8739.2453812521544</v>
      </c>
      <c r="G20" s="531">
        <f>F20+'Historical IS'!G24</f>
        <v>-9930.7417120749124</v>
      </c>
      <c r="H20" s="532">
        <f>G20+'Historical IS'!H24</f>
        <v>-10168.270018439594</v>
      </c>
      <c r="J20" s="190"/>
      <c r="L20" s="119" t="str">
        <f t="shared" si="9"/>
        <v>Accumulated Depreciation</v>
      </c>
      <c r="M20" s="120"/>
      <c r="N20" s="559">
        <f t="shared" si="10"/>
        <v>-0.101579593551805</v>
      </c>
      <c r="O20" s="559">
        <f t="shared" si="5"/>
        <v>-0.11664800219414653</v>
      </c>
      <c r="P20" s="559">
        <f t="shared" si="6"/>
        <v>-0.1326360344577743</v>
      </c>
      <c r="Q20" s="559">
        <f t="shared" si="7"/>
        <v>-0.15432050858491125</v>
      </c>
      <c r="R20" s="560">
        <f t="shared" si="8"/>
        <v>-0.15848545015371768</v>
      </c>
    </row>
    <row r="21" spans="2:18" s="3" customFormat="1" ht="12.75">
      <c r="B21" s="119" t="s">
        <v>315</v>
      </c>
      <c r="C21" s="120"/>
      <c r="D21" s="232">
        <f>SUM(D19:D20)</f>
        <v>9304.662776880321</v>
      </c>
      <c r="E21" s="232">
        <f t="shared" ref="E21:H21" si="11">SUM(E19:E20)</f>
        <v>10106.983193282722</v>
      </c>
      <c r="F21" s="232">
        <f t="shared" si="11"/>
        <v>8654.8223956281672</v>
      </c>
      <c r="G21" s="232">
        <f t="shared" si="11"/>
        <v>7663.3260648053874</v>
      </c>
      <c r="H21" s="385">
        <f t="shared" si="11"/>
        <v>7754.0527584407282</v>
      </c>
      <c r="J21" s="190"/>
      <c r="L21" s="119" t="str">
        <f t="shared" si="9"/>
        <v>Net Plant Property and Equipment</v>
      </c>
      <c r="M21" s="120"/>
      <c r="N21" s="559">
        <f t="shared" si="10"/>
        <v>0.15495327829409006</v>
      </c>
      <c r="O21" s="559">
        <f t="shared" si="5"/>
        <v>0.16071160811559423</v>
      </c>
      <c r="P21" s="559">
        <f t="shared" si="6"/>
        <v>0.1313547419042693</v>
      </c>
      <c r="Q21" s="559">
        <f t="shared" si="7"/>
        <v>0.11908560408280741</v>
      </c>
      <c r="R21" s="560">
        <f t="shared" si="8"/>
        <v>0.12085679665357084</v>
      </c>
    </row>
    <row r="22" spans="2:18" s="3" customFormat="1" ht="12.75">
      <c r="B22" s="119" t="s">
        <v>188</v>
      </c>
      <c r="C22" s="120"/>
      <c r="D22" s="129">
        <v>11802.010000000002</v>
      </c>
      <c r="E22" s="129">
        <f>((((((((659629)/100)+16568.1)-5000)-1000)-1000)-1000)-1000)-1000</f>
        <v>13164.39</v>
      </c>
      <c r="F22" s="129">
        <v>14439.630000000001</v>
      </c>
      <c r="G22" s="129">
        <v>14251.16</v>
      </c>
      <c r="H22" s="130">
        <v>14062.690000000002</v>
      </c>
      <c r="J22" s="398"/>
      <c r="L22" s="119" t="str">
        <f t="shared" si="1"/>
        <v>Other Assets</v>
      </c>
      <c r="M22" s="120"/>
      <c r="N22" s="386">
        <f>D22/D$24</f>
        <v>0.19654233407616123</v>
      </c>
      <c r="O22" s="386">
        <f t="shared" ref="O22:R24" si="12">E22/E$24</f>
        <v>0.20932757542992247</v>
      </c>
      <c r="P22" s="386">
        <f t="shared" si="12"/>
        <v>0.21915110271947769</v>
      </c>
      <c r="Q22" s="386">
        <f t="shared" si="12"/>
        <v>0.22145840893745661</v>
      </c>
      <c r="R22" s="387">
        <f t="shared" si="12"/>
        <v>0.21918494994532037</v>
      </c>
    </row>
    <row r="23" spans="2:18" s="3" customFormat="1" ht="12.75">
      <c r="B23" s="218" t="s">
        <v>375</v>
      </c>
      <c r="C23" s="219"/>
      <c r="D23" s="220">
        <f>D21+D22+D18</f>
        <v>39429.872776880322</v>
      </c>
      <c r="E23" s="220">
        <f t="shared" ref="E23:H23" si="13">E21+E22+E18</f>
        <v>42100.883193282723</v>
      </c>
      <c r="F23" s="220">
        <f t="shared" si="13"/>
        <v>42440.362395628166</v>
      </c>
      <c r="G23" s="220">
        <f t="shared" si="13"/>
        <v>41265.396064805391</v>
      </c>
      <c r="H23" s="221">
        <f t="shared" si="13"/>
        <v>41172.552758440732</v>
      </c>
      <c r="J23" s="190"/>
      <c r="L23" s="218" t="str">
        <f t="shared" si="1"/>
        <v>Total Non-Current Assets</v>
      </c>
      <c r="M23" s="219"/>
      <c r="N23" s="388">
        <f>D23/D$24</f>
        <v>0.6566372361906273</v>
      </c>
      <c r="O23" s="388">
        <f t="shared" si="12"/>
        <v>0.66944809461799937</v>
      </c>
      <c r="P23" s="388">
        <f t="shared" si="12"/>
        <v>0.6441198437090262</v>
      </c>
      <c r="Q23" s="388">
        <f t="shared" si="12"/>
        <v>0.64125088460769408</v>
      </c>
      <c r="R23" s="389">
        <f t="shared" si="12"/>
        <v>0.64172671910423196</v>
      </c>
    </row>
    <row r="24" spans="2:18" s="3" customFormat="1" ht="12.75">
      <c r="B24" s="218" t="s">
        <v>189</v>
      </c>
      <c r="C24" s="219"/>
      <c r="D24" s="220">
        <f>D16+D23</f>
        <v>60048.18277688032</v>
      </c>
      <c r="E24" s="220">
        <f>E16+E23</f>
        <v>62888.943193282728</v>
      </c>
      <c r="F24" s="220">
        <f>F16+F23</f>
        <v>65888.922395628164</v>
      </c>
      <c r="G24" s="220">
        <f>G16+G23</f>
        <v>64351.4060648054</v>
      </c>
      <c r="H24" s="221">
        <f>H16+H23</f>
        <v>64159.012758440731</v>
      </c>
      <c r="J24" s="190"/>
      <c r="L24" s="218" t="str">
        <f t="shared" si="1"/>
        <v>Total Assets</v>
      </c>
      <c r="M24" s="219"/>
      <c r="N24" s="388">
        <f>D24/D$24</f>
        <v>1</v>
      </c>
      <c r="O24" s="388">
        <f t="shared" si="12"/>
        <v>1</v>
      </c>
      <c r="P24" s="388">
        <f t="shared" si="12"/>
        <v>1</v>
      </c>
      <c r="Q24" s="388">
        <f t="shared" si="12"/>
        <v>1</v>
      </c>
      <c r="R24" s="389">
        <f t="shared" si="12"/>
        <v>1</v>
      </c>
    </row>
    <row r="25" spans="2:18" s="3" customFormat="1" ht="5.0999999999999996" customHeight="1">
      <c r="B25" s="119"/>
      <c r="C25" s="120"/>
      <c r="D25" s="216"/>
      <c r="E25" s="216"/>
      <c r="F25" s="216"/>
      <c r="G25" s="216"/>
      <c r="H25" s="217"/>
      <c r="J25" s="190"/>
      <c r="L25" s="119"/>
      <c r="M25" s="120"/>
      <c r="N25" s="386"/>
      <c r="O25" s="386"/>
      <c r="P25" s="386"/>
      <c r="Q25" s="386"/>
      <c r="R25" s="387"/>
    </row>
    <row r="26" spans="2:18" s="3" customFormat="1" ht="12.75">
      <c r="B26" s="226" t="s">
        <v>190</v>
      </c>
      <c r="C26" s="120"/>
      <c r="D26" s="216"/>
      <c r="E26" s="216"/>
      <c r="F26" s="216"/>
      <c r="G26" s="216"/>
      <c r="H26" s="217"/>
      <c r="J26" s="190"/>
      <c r="L26" s="226" t="str">
        <f t="shared" ref="L26:L42" si="14">B26</f>
        <v>Current Liabilities</v>
      </c>
      <c r="M26" s="120"/>
      <c r="N26" s="386"/>
      <c r="O26" s="386"/>
      <c r="P26" s="386"/>
      <c r="Q26" s="386"/>
      <c r="R26" s="387"/>
    </row>
    <row r="27" spans="2:18" s="3" customFormat="1" ht="12.75">
      <c r="B27" s="119" t="s">
        <v>192</v>
      </c>
      <c r="C27" s="120"/>
      <c r="D27" s="129">
        <v>1829.08</v>
      </c>
      <c r="E27" s="129">
        <v>2008.31</v>
      </c>
      <c r="F27" s="129">
        <v>2049.85</v>
      </c>
      <c r="G27" s="129">
        <v>1773.125</v>
      </c>
      <c r="H27" s="130">
        <v>1496.4</v>
      </c>
      <c r="J27" s="398"/>
      <c r="L27" s="119" t="str">
        <f t="shared" si="14"/>
        <v>Accounts Payable</v>
      </c>
      <c r="M27" s="120"/>
      <c r="N27" s="386">
        <f t="shared" ref="N27:N32" si="15">D27/D$42</f>
        <v>3.0460205711741042E-2</v>
      </c>
      <c r="O27" s="386">
        <f t="shared" ref="O27:R32" si="16">E27/E$42</f>
        <v>3.1934230375404223E-2</v>
      </c>
      <c r="P27" s="386">
        <f t="shared" si="16"/>
        <v>3.1110692442224714E-2</v>
      </c>
      <c r="Q27" s="386">
        <f t="shared" si="16"/>
        <v>2.7553787996712389E-2</v>
      </c>
      <c r="R27" s="387">
        <f t="shared" si="16"/>
        <v>2.3323301523263153E-2</v>
      </c>
    </row>
    <row r="28" spans="2:18" s="3" customFormat="1" ht="12.75">
      <c r="B28" s="119" t="s">
        <v>191</v>
      </c>
      <c r="C28" s="120"/>
      <c r="D28" s="129">
        <v>333.995</v>
      </c>
      <c r="E28" s="129">
        <v>351.42</v>
      </c>
      <c r="F28" s="129">
        <v>316.57</v>
      </c>
      <c r="G28" s="129">
        <v>213.22</v>
      </c>
      <c r="H28" s="130">
        <v>209.87</v>
      </c>
      <c r="J28" s="398"/>
      <c r="L28" s="119" t="str">
        <f t="shared" ref="L28" si="17">B28</f>
        <v>Current Portion of Long-term Debt</v>
      </c>
      <c r="M28" s="120"/>
      <c r="N28" s="386">
        <f t="shared" si="15"/>
        <v>5.5621166962040751E-3</v>
      </c>
      <c r="O28" s="386">
        <f t="shared" si="16"/>
        <v>5.5879457048585886E-3</v>
      </c>
      <c r="P28" s="386">
        <f t="shared" si="16"/>
        <v>4.8046012666463781E-3</v>
      </c>
      <c r="Q28" s="386">
        <f t="shared" si="16"/>
        <v>3.3133697154227796E-3</v>
      </c>
      <c r="R28" s="387">
        <f t="shared" si="16"/>
        <v>3.2710914800101829E-3</v>
      </c>
    </row>
    <row r="29" spans="2:18" s="3" customFormat="1" ht="12.75">
      <c r="B29" s="119" t="s">
        <v>317</v>
      </c>
      <c r="C29" s="120"/>
      <c r="D29" s="129">
        <v>1007.5650000000001</v>
      </c>
      <c r="E29" s="129">
        <v>1084.26</v>
      </c>
      <c r="F29" s="129">
        <v>1180.8699999999999</v>
      </c>
      <c r="G29" s="129">
        <v>979.44500000000005</v>
      </c>
      <c r="H29" s="130">
        <v>928.02</v>
      </c>
      <c r="J29" s="398"/>
      <c r="L29" s="119" t="str">
        <f t="shared" ref="L29" si="18">B29</f>
        <v>Salaries and Benefirs Payabe</v>
      </c>
      <c r="M29" s="120"/>
      <c r="N29" s="386">
        <f t="shared" si="15"/>
        <v>1.6779275465234087E-2</v>
      </c>
      <c r="O29" s="386">
        <f t="shared" si="16"/>
        <v>1.7240868504780529E-2</v>
      </c>
      <c r="P29" s="386">
        <f t="shared" si="16"/>
        <v>1.7922132538600335E-2</v>
      </c>
      <c r="Q29" s="386">
        <f t="shared" si="16"/>
        <v>1.5220257953861104E-2</v>
      </c>
      <c r="R29" s="387">
        <f t="shared" si="16"/>
        <v>1.4464374685658025E-2</v>
      </c>
    </row>
    <row r="30" spans="2:18" s="3" customFormat="1" ht="12.75">
      <c r="B30" s="119" t="s">
        <v>318</v>
      </c>
      <c r="C30" s="120"/>
      <c r="D30" s="129">
        <v>333.92</v>
      </c>
      <c r="E30" s="129">
        <v>351.42</v>
      </c>
      <c r="F30" s="129">
        <v>466.42</v>
      </c>
      <c r="G30" s="129">
        <v>326.39999999999998</v>
      </c>
      <c r="H30" s="130">
        <v>236.38</v>
      </c>
      <c r="J30" s="398"/>
      <c r="L30" s="119" t="str">
        <f t="shared" si="14"/>
        <v>Deferred taxes</v>
      </c>
      <c r="M30" s="120"/>
      <c r="N30" s="386">
        <f t="shared" si="15"/>
        <v>5.5608676992064694E-3</v>
      </c>
      <c r="O30" s="386">
        <f t="shared" si="16"/>
        <v>5.5879457048585886E-3</v>
      </c>
      <c r="P30" s="386">
        <f t="shared" si="16"/>
        <v>7.0788834153242691E-3</v>
      </c>
      <c r="Q30" s="386">
        <f t="shared" si="16"/>
        <v>5.0721502444141973E-3</v>
      </c>
      <c r="R30" s="387">
        <f t="shared" si="16"/>
        <v>3.6842836234088103E-3</v>
      </c>
    </row>
    <row r="31" spans="2:18" s="3" customFormat="1" ht="12.75">
      <c r="B31" s="119" t="s">
        <v>193</v>
      </c>
      <c r="C31" s="120"/>
      <c r="D31" s="129">
        <v>5581.67</v>
      </c>
      <c r="E31" s="129">
        <v>5963.92</v>
      </c>
      <c r="F31" s="129">
        <v>5199.42</v>
      </c>
      <c r="G31" s="129">
        <v>4774.95</v>
      </c>
      <c r="H31" s="130">
        <v>4450.4799999999996</v>
      </c>
      <c r="J31" s="398"/>
      <c r="L31" s="119" t="str">
        <f t="shared" si="14"/>
        <v>Other Current Liabilities</v>
      </c>
      <c r="M31" s="120"/>
      <c r="N31" s="386">
        <f t="shared" si="15"/>
        <v>9.2953187621675176E-2</v>
      </c>
      <c r="O31" s="386">
        <f t="shared" si="16"/>
        <v>9.483256828899958E-2</v>
      </c>
      <c r="P31" s="386">
        <f t="shared" si="16"/>
        <v>7.8911899162354332E-2</v>
      </c>
      <c r="Q31" s="386">
        <f t="shared" si="16"/>
        <v>7.4201175887149431E-2</v>
      </c>
      <c r="R31" s="387">
        <f t="shared" si="16"/>
        <v>6.9366404011796431E-2</v>
      </c>
    </row>
    <row r="32" spans="2:18" s="3" customFormat="1" ht="12.75">
      <c r="B32" s="218" t="s">
        <v>194</v>
      </c>
      <c r="C32" s="219"/>
      <c r="D32" s="220">
        <f>SUM(D27:D31)</f>
        <v>9086.23</v>
      </c>
      <c r="E32" s="220">
        <f>SUM(E27:E31)</f>
        <v>9759.33</v>
      </c>
      <c r="F32" s="220">
        <f>SUM(F27:F31)</f>
        <v>9213.130000000001</v>
      </c>
      <c r="G32" s="220">
        <f>SUM(G27:G31)</f>
        <v>8067.1399999999994</v>
      </c>
      <c r="H32" s="221">
        <f>SUM(H27:H31)</f>
        <v>7321.15</v>
      </c>
      <c r="J32" s="190"/>
      <c r="L32" s="218" t="str">
        <f t="shared" si="14"/>
        <v>Total Current Liabilities</v>
      </c>
      <c r="M32" s="219"/>
      <c r="N32" s="388">
        <f t="shared" si="15"/>
        <v>0.15131565319406085</v>
      </c>
      <c r="O32" s="388">
        <f t="shared" si="16"/>
        <v>0.15518355857890151</v>
      </c>
      <c r="P32" s="388">
        <f t="shared" si="16"/>
        <v>0.13982820882515004</v>
      </c>
      <c r="Q32" s="388">
        <f t="shared" si="16"/>
        <v>0.1253607417975599</v>
      </c>
      <c r="R32" s="389">
        <f t="shared" si="16"/>
        <v>0.1141094553241366</v>
      </c>
    </row>
    <row r="33" spans="2:18" s="3" customFormat="1" ht="12.75">
      <c r="B33" s="215" t="s">
        <v>195</v>
      </c>
      <c r="C33" s="120"/>
      <c r="D33" s="216"/>
      <c r="E33" s="216"/>
      <c r="F33" s="216"/>
      <c r="G33" s="216"/>
      <c r="H33" s="217"/>
      <c r="J33" s="190"/>
      <c r="L33" s="215" t="str">
        <f t="shared" si="14"/>
        <v>Non-Current Liabilities</v>
      </c>
      <c r="M33" s="120"/>
      <c r="N33" s="386"/>
      <c r="O33" s="386"/>
      <c r="P33" s="386"/>
      <c r="Q33" s="386"/>
      <c r="R33" s="387"/>
    </row>
    <row r="34" spans="2:18" s="3" customFormat="1" ht="12.75">
      <c r="B34" s="119" t="s">
        <v>196</v>
      </c>
      <c r="C34" s="120"/>
      <c r="D34" s="129">
        <v>1038.49</v>
      </c>
      <c r="E34" s="129">
        <v>1147.54</v>
      </c>
      <c r="F34" s="129">
        <v>929.44</v>
      </c>
      <c r="G34" s="129">
        <v>829.44</v>
      </c>
      <c r="H34" s="130">
        <v>766.12</v>
      </c>
      <c r="J34" s="398"/>
      <c r="L34" s="119" t="str">
        <f t="shared" si="14"/>
        <v>Long-Term Debt</v>
      </c>
      <c r="M34" s="120"/>
      <c r="N34" s="386">
        <f t="shared" ref="N34:N40" si="19">D34/D$42</f>
        <v>1.7294278560580158E-2</v>
      </c>
      <c r="O34" s="386">
        <f t="shared" ref="O34:R40" si="20">E34/E$42</f>
        <v>1.8247086717185775E-2</v>
      </c>
      <c r="P34" s="386">
        <f t="shared" si="20"/>
        <v>1.4106164833281139E-2</v>
      </c>
      <c r="Q34" s="386">
        <f t="shared" si="20"/>
        <v>1.2889228856393728E-2</v>
      </c>
      <c r="R34" s="387">
        <f t="shared" si="20"/>
        <v>1.1940956805000244E-2</v>
      </c>
    </row>
    <row r="35" spans="2:18" s="3" customFormat="1" ht="12.75">
      <c r="B35" s="119" t="s">
        <v>319</v>
      </c>
      <c r="C35" s="120"/>
      <c r="D35" s="129">
        <v>1164.9100000000001</v>
      </c>
      <c r="E35" s="129">
        <v>1057.71</v>
      </c>
      <c r="F35" s="129">
        <v>1272.1099999999999</v>
      </c>
      <c r="G35" s="129">
        <v>1172.1099999999999</v>
      </c>
      <c r="H35" s="130">
        <v>1382.95</v>
      </c>
      <c r="J35" s="398"/>
      <c r="L35" s="119" t="str">
        <f t="shared" ref="L35:L37" si="21">B35</f>
        <v>Noncurrent deferred revenue</v>
      </c>
      <c r="M35" s="120"/>
      <c r="N35" s="386">
        <f t="shared" si="19"/>
        <v>1.9399587899744275E-2</v>
      </c>
      <c r="O35" s="386">
        <f t="shared" si="20"/>
        <v>1.6818695724449315E-2</v>
      </c>
      <c r="P35" s="386">
        <f t="shared" si="20"/>
        <v>1.9306887315012553E-2</v>
      </c>
      <c r="Q35" s="386">
        <f t="shared" si="20"/>
        <v>1.8214209629228935E-2</v>
      </c>
      <c r="R35" s="387">
        <f t="shared" si="20"/>
        <v>2.1555038653833718E-2</v>
      </c>
    </row>
    <row r="36" spans="2:18" s="3" customFormat="1" ht="12.75">
      <c r="B36" s="119" t="s">
        <v>320</v>
      </c>
      <c r="C36" s="120"/>
      <c r="D36" s="129">
        <v>965.66499999999996</v>
      </c>
      <c r="E36" s="129">
        <v>1165.67</v>
      </c>
      <c r="F36" s="129">
        <v>765.66</v>
      </c>
      <c r="G36" s="129">
        <v>665.66</v>
      </c>
      <c r="H36" s="130">
        <v>870.6</v>
      </c>
      <c r="J36" s="398"/>
      <c r="L36" s="119" t="str">
        <f t="shared" si="21"/>
        <v>Noncurrent operating lease liabilities</v>
      </c>
      <c r="M36" s="120"/>
      <c r="N36" s="386">
        <f t="shared" si="19"/>
        <v>1.6081502475905052E-2</v>
      </c>
      <c r="O36" s="386">
        <f t="shared" si="20"/>
        <v>1.8535372687332855E-2</v>
      </c>
      <c r="P36" s="386">
        <f t="shared" si="20"/>
        <v>1.1620466265977401E-2</v>
      </c>
      <c r="Q36" s="386">
        <f t="shared" si="20"/>
        <v>1.0344140722110155E-2</v>
      </c>
      <c r="R36" s="387">
        <f t="shared" si="20"/>
        <v>1.3569410789997929E-2</v>
      </c>
    </row>
    <row r="37" spans="2:18" s="3" customFormat="1" ht="12.75">
      <c r="B37" s="119" t="s">
        <v>197</v>
      </c>
      <c r="C37" s="120"/>
      <c r="D37" s="129">
        <v>6010.64</v>
      </c>
      <c r="E37" s="129">
        <v>6002.78</v>
      </c>
      <c r="F37" s="129">
        <v>6018.5</v>
      </c>
      <c r="G37" s="129">
        <v>3118.5</v>
      </c>
      <c r="H37" s="130">
        <v>3217.88</v>
      </c>
      <c r="J37" s="398"/>
      <c r="L37" s="119" t="str">
        <f t="shared" si="21"/>
        <v>Other Long-Term Liabilities</v>
      </c>
      <c r="M37" s="120"/>
      <c r="N37" s="386">
        <f t="shared" si="19"/>
        <v>0.10009695084918056</v>
      </c>
      <c r="O37" s="386">
        <f t="shared" si="20"/>
        <v>9.5450482949778148E-2</v>
      </c>
      <c r="P37" s="386">
        <f t="shared" si="20"/>
        <v>9.1343123869321877E-2</v>
      </c>
      <c r="Q37" s="386">
        <f t="shared" si="20"/>
        <v>4.8460479587027191E-2</v>
      </c>
      <c r="R37" s="387">
        <f t="shared" si="20"/>
        <v>5.0154761765355542E-2</v>
      </c>
    </row>
    <row r="38" spans="2:18" s="3" customFormat="1" ht="12.75">
      <c r="B38" s="218" t="s">
        <v>198</v>
      </c>
      <c r="C38" s="219"/>
      <c r="D38" s="220">
        <f>SUM(D34:D37)</f>
        <v>9179.7049999999999</v>
      </c>
      <c r="E38" s="220">
        <f>SUM(E34:E37)</f>
        <v>9373.7000000000007</v>
      </c>
      <c r="F38" s="220">
        <f t="shared" ref="F38:H38" si="22">SUM(F34:F37)</f>
        <v>8985.7099999999991</v>
      </c>
      <c r="G38" s="220">
        <f t="shared" si="22"/>
        <v>5785.71</v>
      </c>
      <c r="H38" s="221">
        <f t="shared" si="22"/>
        <v>6237.55</v>
      </c>
      <c r="J38" s="190"/>
      <c r="L38" s="218" t="str">
        <f t="shared" si="14"/>
        <v>Total Non-Current Liabilities</v>
      </c>
      <c r="M38" s="219"/>
      <c r="N38" s="388">
        <f t="shared" si="19"/>
        <v>0.15287231978541005</v>
      </c>
      <c r="O38" s="388">
        <f t="shared" si="20"/>
        <v>0.14905163807874611</v>
      </c>
      <c r="P38" s="388">
        <f t="shared" si="20"/>
        <v>0.13637664228359297</v>
      </c>
      <c r="Q38" s="388">
        <f t="shared" si="20"/>
        <v>8.9908058794760007E-2</v>
      </c>
      <c r="R38" s="389">
        <f t="shared" si="20"/>
        <v>9.7220168014187439E-2</v>
      </c>
    </row>
    <row r="39" spans="2:18" s="3" customFormat="1" ht="12.75">
      <c r="B39" s="218" t="s">
        <v>199</v>
      </c>
      <c r="C39" s="219"/>
      <c r="D39" s="220">
        <f>D38+D32</f>
        <v>18265.934999999998</v>
      </c>
      <c r="E39" s="220">
        <f>E38+E32</f>
        <v>19133.03</v>
      </c>
      <c r="F39" s="220">
        <f t="shared" ref="F39:H39" si="23">F38+F32</f>
        <v>18198.84</v>
      </c>
      <c r="G39" s="220">
        <f t="shared" si="23"/>
        <v>13852.849999999999</v>
      </c>
      <c r="H39" s="221">
        <f t="shared" si="23"/>
        <v>13558.7</v>
      </c>
      <c r="J39" s="190"/>
      <c r="L39" s="218" t="str">
        <f t="shared" si="14"/>
        <v>Total Liabilities</v>
      </c>
      <c r="M39" s="219"/>
      <c r="N39" s="388">
        <f t="shared" si="19"/>
        <v>0.30418797297947087</v>
      </c>
      <c r="O39" s="388">
        <f t="shared" si="20"/>
        <v>0.30423519665764759</v>
      </c>
      <c r="P39" s="388">
        <f t="shared" si="20"/>
        <v>0.27620485110874299</v>
      </c>
      <c r="Q39" s="388">
        <f t="shared" si="20"/>
        <v>0.2152688005923199</v>
      </c>
      <c r="R39" s="389">
        <f t="shared" si="20"/>
        <v>0.21132962333832406</v>
      </c>
    </row>
    <row r="40" spans="2:18" s="3" customFormat="1" ht="12.75">
      <c r="B40" s="119" t="s">
        <v>200</v>
      </c>
      <c r="C40" s="120"/>
      <c r="D40" s="129">
        <v>41782.247776880322</v>
      </c>
      <c r="E40" s="129">
        <v>43755.913193282729</v>
      </c>
      <c r="F40" s="129">
        <v>47690.08239562816</v>
      </c>
      <c r="G40" s="129">
        <v>50498.556064805402</v>
      </c>
      <c r="H40" s="130">
        <v>50600.312758440698</v>
      </c>
      <c r="J40" s="190"/>
      <c r="L40" s="119" t="str">
        <f t="shared" si="14"/>
        <v>Shareholders Equity</v>
      </c>
      <c r="M40" s="120"/>
      <c r="N40" s="386">
        <f t="shared" si="19"/>
        <v>0.69581202702052913</v>
      </c>
      <c r="O40" s="386">
        <f t="shared" si="20"/>
        <v>0.69576480334235236</v>
      </c>
      <c r="P40" s="386">
        <f t="shared" si="20"/>
        <v>0.72379514889125696</v>
      </c>
      <c r="Q40" s="386">
        <f t="shared" si="20"/>
        <v>0.7847311994076801</v>
      </c>
      <c r="R40" s="387">
        <f t="shared" si="20"/>
        <v>0.78867037666167594</v>
      </c>
    </row>
    <row r="41" spans="2:18" s="3" customFormat="1" ht="5.0999999999999996" customHeight="1">
      <c r="B41" s="399"/>
      <c r="C41" s="400"/>
      <c r="D41" s="401"/>
      <c r="E41" s="401"/>
      <c r="F41" s="401"/>
      <c r="G41" s="401"/>
      <c r="H41" s="402"/>
      <c r="L41" s="399"/>
      <c r="M41" s="400"/>
      <c r="N41" s="403"/>
      <c r="O41" s="403"/>
      <c r="P41" s="403"/>
      <c r="Q41" s="403"/>
      <c r="R41" s="404"/>
    </row>
    <row r="42" spans="2:18" s="3" customFormat="1" ht="13.5" thickBot="1">
      <c r="B42" s="227" t="s">
        <v>201</v>
      </c>
      <c r="C42" s="228"/>
      <c r="D42" s="229">
        <f>SUM(D39:D40)</f>
        <v>60048.18277688032</v>
      </c>
      <c r="E42" s="229">
        <f>SUM(E39:E40)</f>
        <v>62888.943193282728</v>
      </c>
      <c r="F42" s="229">
        <f>SUM(F39:F40)</f>
        <v>65888.922395628164</v>
      </c>
      <c r="G42" s="229">
        <f>SUM(G39:G40)</f>
        <v>64351.4060648054</v>
      </c>
      <c r="H42" s="230">
        <f>SUM(H39:H40)</f>
        <v>64159.012758440702</v>
      </c>
      <c r="L42" s="227" t="str">
        <f t="shared" si="14"/>
        <v>Total Liabilities and Shareholders Equity</v>
      </c>
      <c r="M42" s="228"/>
      <c r="N42" s="392">
        <f>D42/D$42</f>
        <v>1</v>
      </c>
      <c r="O42" s="392">
        <f t="shared" ref="O42:R42" si="24">E42/E$42</f>
        <v>1</v>
      </c>
      <c r="P42" s="392">
        <f t="shared" si="24"/>
        <v>1</v>
      </c>
      <c r="Q42" s="392">
        <f t="shared" si="24"/>
        <v>1</v>
      </c>
      <c r="R42" s="393">
        <f t="shared" si="24"/>
        <v>1</v>
      </c>
    </row>
    <row r="43" spans="2:18" s="3" customFormat="1" ht="12.75" hidden="1"/>
    <row r="44" spans="2:18" s="3" customFormat="1" ht="5.25" customHeight="1"/>
    <row r="45" spans="2:18" s="3" customFormat="1" ht="12.75">
      <c r="B45" s="231" t="s">
        <v>202</v>
      </c>
      <c r="C45" s="120"/>
      <c r="D45" s="232">
        <f>D16-D32</f>
        <v>11532.079999999998</v>
      </c>
      <c r="E45" s="232">
        <f>E16-E32</f>
        <v>11028.730000000001</v>
      </c>
      <c r="F45" s="232">
        <f>F16-F32</f>
        <v>14235.43</v>
      </c>
      <c r="G45" s="232">
        <f>G16-G32</f>
        <v>15018.870000000006</v>
      </c>
      <c r="H45" s="233">
        <f>H16-H32</f>
        <v>15665.31</v>
      </c>
      <c r="L45" s="383"/>
      <c r="M45" s="383"/>
      <c r="N45" s="384"/>
      <c r="O45" s="384"/>
      <c r="P45" s="384"/>
      <c r="Q45" s="384"/>
      <c r="R45" s="384"/>
    </row>
    <row r="46" spans="2:18" s="3" customFormat="1" ht="11.25" customHeight="1">
      <c r="B46" s="231" t="s">
        <v>203</v>
      </c>
      <c r="C46" s="120"/>
      <c r="D46" s="232">
        <f>D45-D11+D28</f>
        <v>719.57999999999731</v>
      </c>
      <c r="E46" s="232">
        <f t="shared" ref="E46:H46" si="25">E45-E11+E28</f>
        <v>1104.4800000000014</v>
      </c>
      <c r="F46" s="232">
        <f t="shared" si="25"/>
        <v>1534.6800000000005</v>
      </c>
      <c r="G46" s="232">
        <f t="shared" si="25"/>
        <v>2165.9900000000057</v>
      </c>
      <c r="H46" s="233">
        <f t="shared" si="25"/>
        <v>2073.3000000000002</v>
      </c>
      <c r="L46" s="383"/>
      <c r="M46" s="383"/>
      <c r="N46" s="384"/>
      <c r="O46" s="384"/>
      <c r="P46" s="384"/>
      <c r="Q46" s="384"/>
      <c r="R46" s="384"/>
    </row>
    <row r="47" spans="2:18" s="3" customFormat="1" ht="12.75" hidden="1"/>
    <row r="48" spans="2:18" s="3" customFormat="1" ht="12.75"/>
    <row r="49" spans="2:10" s="3" customFormat="1" ht="12.75"/>
    <row r="50" spans="2:10" s="3" customFormat="1" ht="12.75">
      <c r="B50" s="3" t="s">
        <v>284</v>
      </c>
      <c r="D50" s="44">
        <f>D46/'Historical IS'!D15</f>
        <v>4.5549185907499706E-2</v>
      </c>
      <c r="E50" s="44">
        <f>E46/'Historical IS'!E15</f>
        <v>6.5193167640157618E-2</v>
      </c>
      <c r="F50" s="44">
        <f>F46/'Historical IS'!F15</f>
        <v>8.2250138875885115E-2</v>
      </c>
      <c r="G50" s="44">
        <f>G46/'Historical IS'!G15</f>
        <v>0.10429921733223152</v>
      </c>
      <c r="H50" s="44">
        <f>H46/('Historical IS'!H15/(1-stub))</f>
        <v>0.10122693153430914</v>
      </c>
      <c r="J50" s="4" t="s">
        <v>15</v>
      </c>
    </row>
    <row r="51" spans="2:10" s="3" customFormat="1" ht="12.75">
      <c r="B51" s="3" t="s">
        <v>15</v>
      </c>
      <c r="D51" s="394">
        <f>IF(D42=D24,0,1)</f>
        <v>0</v>
      </c>
      <c r="E51" s="394">
        <f>IF(E42=E24,0,1)</f>
        <v>0</v>
      </c>
      <c r="F51" s="394">
        <f>IF(F42=F24,0,1)</f>
        <v>0</v>
      </c>
      <c r="G51" s="394">
        <f>IF(G42=G24,0,1)</f>
        <v>0</v>
      </c>
      <c r="H51" s="394">
        <f>IF(H42=H24,0,1)</f>
        <v>0</v>
      </c>
    </row>
    <row r="52" spans="2:10" s="3" customFormat="1" ht="12.75">
      <c r="B52" s="3" t="s">
        <v>311</v>
      </c>
      <c r="D52" s="42">
        <f>D24-D42</f>
        <v>0</v>
      </c>
      <c r="E52" s="42">
        <f>E24-E42</f>
        <v>0</v>
      </c>
      <c r="F52" s="42">
        <f>F24-F42</f>
        <v>0</v>
      </c>
      <c r="G52" s="42">
        <f>G24-G42</f>
        <v>0</v>
      </c>
      <c r="H52" s="42">
        <f>H24-H42</f>
        <v>0</v>
      </c>
    </row>
    <row r="53" spans="2:10" s="3" customFormat="1" ht="12.75"/>
    <row r="54" spans="2:10" s="3" customFormat="1" ht="12.75"/>
    <row r="55" spans="2:10" s="3" customFormat="1" ht="12.75"/>
    <row r="56" spans="2:10" s="3" customFormat="1" ht="12.75"/>
    <row r="57" spans="2:10" s="3" customFormat="1" ht="12.75"/>
    <row r="58" spans="2:10" s="3" customFormat="1" ht="12.75"/>
    <row r="59" spans="2:10" s="3" customFormat="1" ht="12.75">
      <c r="F59" s="42"/>
    </row>
  </sheetData>
  <mergeCells count="2">
    <mergeCell ref="D7:G7"/>
    <mergeCell ref="N7:Q7"/>
  </mergeCells>
  <pageMargins left="0.5" right="0.5" top="0.5" bottom="0.5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95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5.85546875" customWidth="1"/>
    <col min="3" max="3" width="12.7109375" customWidth="1"/>
    <col min="4" max="10" width="11.7109375" customWidth="1"/>
    <col min="11" max="11" width="2.7109375" customWidth="1"/>
    <col min="13" max="13" width="3.5703125" customWidth="1"/>
    <col min="14" max="14" width="25.85546875" customWidth="1"/>
    <col min="15" max="15" width="12.7109375" customWidth="1"/>
    <col min="16" max="22" width="11.7109375" customWidth="1"/>
    <col min="23" max="23" width="2.7109375" customWidth="1"/>
  </cols>
  <sheetData>
    <row r="1" spans="1:24" ht="15.75">
      <c r="A1" s="2"/>
      <c r="B1" s="18" t="str">
        <f>Acq_name</f>
        <v>[Acq.Co. Holdings Ltd.]</v>
      </c>
      <c r="J1" s="34" t="str">
        <f>"Exhibit: "&amp;INDEX(TOC!$B$5:$E$34,MATCH($B$3,TOC!$E$5:$E$36,0),COLUMNS(TOC!F5))&amp;L1</f>
        <v>Exhibit: H.1</v>
      </c>
      <c r="K1" s="34"/>
      <c r="L1" s="377" t="s">
        <v>304</v>
      </c>
      <c r="M1" s="2"/>
      <c r="N1" s="18" t="str">
        <f>B1</f>
        <v>[Acq.Co. Holdings Ltd.]</v>
      </c>
      <c r="V1" s="34" t="str">
        <f>"Exhibit: "&amp;INDEX(TOC!$B$5:$E$34,MATCH($B$3,TOC!$E$5:$E$36,0),COLUMNS(TOC!R5))&amp;X1</f>
        <v>Exhibit: H.2</v>
      </c>
      <c r="W1" s="34"/>
      <c r="X1" s="377" t="s">
        <v>305</v>
      </c>
    </row>
    <row r="2" spans="1:24">
      <c r="A2" s="2"/>
      <c r="B2" s="19" t="str">
        <f>Targ_name</f>
        <v>[ABC Corporation]</v>
      </c>
      <c r="M2" s="2"/>
      <c r="N2" s="19" t="str">
        <f t="shared" ref="N2:N5" si="0">B2</f>
        <v>[ABC Corporation]</v>
      </c>
    </row>
    <row r="3" spans="1:24">
      <c r="A3" s="2"/>
      <c r="B3" s="20" t="str">
        <f>TOC!E18</f>
        <v>Projected Financial Information</v>
      </c>
      <c r="M3" s="2"/>
      <c r="N3" s="20" t="str">
        <f t="shared" si="0"/>
        <v>Projected Financial Information</v>
      </c>
    </row>
    <row r="4" spans="1:24">
      <c r="B4" s="25" t="str">
        <f>"Valuation as of "&amp;TEXT(Val_date,"DD MMMM YYYY")</f>
        <v>Valuation as of 31 March 2020</v>
      </c>
      <c r="N4" s="25" t="str">
        <f t="shared" si="0"/>
        <v>Valuation as of 31 March 2020</v>
      </c>
    </row>
    <row r="5" spans="1:24">
      <c r="B5" s="27" t="str">
        <f>'Key Inputs and Assumptions'!C24</f>
        <v>(in USD ‘000s unless specified otherwise)</v>
      </c>
      <c r="N5" s="27" t="str">
        <f t="shared" si="0"/>
        <v>(in USD ‘000s unless specified otherwise)</v>
      </c>
    </row>
    <row r="6" spans="1:24" ht="15.75" thickBot="1">
      <c r="O6" s="1"/>
      <c r="Q6" s="1"/>
    </row>
    <row r="7" spans="1:24" ht="15.75" thickBot="1">
      <c r="B7" s="143" t="s">
        <v>42</v>
      </c>
      <c r="C7" s="59"/>
      <c r="D7" s="144" t="s">
        <v>329</v>
      </c>
      <c r="E7" s="144" t="s">
        <v>31</v>
      </c>
      <c r="F7" s="144"/>
      <c r="G7" s="144"/>
      <c r="H7" s="144"/>
      <c r="I7" s="144"/>
      <c r="J7" s="145"/>
      <c r="O7" s="1"/>
    </row>
    <row r="8" spans="1:24">
      <c r="B8" s="146"/>
      <c r="C8" s="147"/>
      <c r="D8" s="147">
        <f>'Key Inputs and Assumptions'!$C$16</f>
        <v>44196</v>
      </c>
      <c r="E8" s="147">
        <f>D8+365</f>
        <v>44561</v>
      </c>
      <c r="F8" s="147">
        <f t="shared" ref="F8:J8" si="1">E8+365</f>
        <v>44926</v>
      </c>
      <c r="G8" s="147">
        <f t="shared" si="1"/>
        <v>45291</v>
      </c>
      <c r="H8" s="147">
        <f t="shared" si="1"/>
        <v>45656</v>
      </c>
      <c r="I8" s="147">
        <f t="shared" si="1"/>
        <v>46021</v>
      </c>
      <c r="J8" s="148">
        <f t="shared" si="1"/>
        <v>46386</v>
      </c>
      <c r="N8" s="117" t="s">
        <v>332</v>
      </c>
      <c r="O8" s="118"/>
      <c r="P8" s="319">
        <f t="shared" ref="P8:V8" si="2">D8</f>
        <v>44196</v>
      </c>
      <c r="Q8" s="319">
        <f t="shared" si="2"/>
        <v>44561</v>
      </c>
      <c r="R8" s="319">
        <f t="shared" si="2"/>
        <v>44926</v>
      </c>
      <c r="S8" s="319">
        <f t="shared" si="2"/>
        <v>45291</v>
      </c>
      <c r="T8" s="319">
        <f t="shared" si="2"/>
        <v>45656</v>
      </c>
      <c r="U8" s="319">
        <f t="shared" si="2"/>
        <v>46021</v>
      </c>
      <c r="V8" s="320">
        <f t="shared" si="2"/>
        <v>46386</v>
      </c>
    </row>
    <row r="9" spans="1:24" s="3" customFormat="1" ht="12.75">
      <c r="B9" s="119"/>
      <c r="C9" s="120"/>
      <c r="D9" s="121"/>
      <c r="E9" s="121"/>
      <c r="F9" s="121"/>
      <c r="G9" s="121"/>
      <c r="H9" s="121"/>
      <c r="I9" s="121"/>
      <c r="J9" s="122"/>
      <c r="N9" s="211" t="s">
        <v>321</v>
      </c>
      <c r="O9" s="36"/>
      <c r="P9" s="41" t="s">
        <v>78</v>
      </c>
      <c r="Q9" s="182">
        <v>0.06</v>
      </c>
      <c r="R9" s="182">
        <v>7.0000000000000007E-2</v>
      </c>
      <c r="S9" s="182">
        <v>0.08</v>
      </c>
      <c r="T9" s="182">
        <v>0.08</v>
      </c>
      <c r="U9" s="182">
        <v>0.05</v>
      </c>
      <c r="V9" s="339">
        <v>0.03</v>
      </c>
    </row>
    <row r="10" spans="1:24" s="3" customFormat="1" ht="12.75">
      <c r="B10" s="123" t="s">
        <v>62</v>
      </c>
      <c r="C10" s="120"/>
      <c r="D10" s="121"/>
      <c r="E10" s="121"/>
      <c r="F10" s="121"/>
      <c r="G10" s="121"/>
      <c r="H10" s="121"/>
      <c r="I10" s="121"/>
      <c r="J10" s="122"/>
      <c r="N10" s="211" t="s">
        <v>322</v>
      </c>
      <c r="O10" s="36"/>
      <c r="P10" s="41" t="s">
        <v>78</v>
      </c>
      <c r="Q10" s="182">
        <v>0.04</v>
      </c>
      <c r="R10" s="182">
        <v>0.05</v>
      </c>
      <c r="S10" s="182">
        <v>0.05</v>
      </c>
      <c r="T10" s="182">
        <v>0.05</v>
      </c>
      <c r="U10" s="182">
        <v>0.05</v>
      </c>
      <c r="V10" s="339">
        <v>0.03</v>
      </c>
    </row>
    <row r="11" spans="1:24" s="3" customFormat="1" ht="12.75">
      <c r="B11" s="124" t="s">
        <v>286</v>
      </c>
      <c r="C11" s="120"/>
      <c r="D11" s="121">
        <f>'Historical IS'!H11*stub/(1-stub)</f>
        <v>16438.18211538461</v>
      </c>
      <c r="E11" s="121">
        <f>D11*(1+Q9)/stub</f>
        <v>23190.389576307687</v>
      </c>
      <c r="F11" s="121">
        <f t="shared" ref="F11:J12" si="3">E11*(1+R9)</f>
        <v>24813.716846649226</v>
      </c>
      <c r="G11" s="121">
        <f t="shared" si="3"/>
        <v>26798.814194381164</v>
      </c>
      <c r="H11" s="121">
        <f t="shared" si="3"/>
        <v>28942.71932993166</v>
      </c>
      <c r="I11" s="121">
        <f t="shared" si="3"/>
        <v>30389.855296428246</v>
      </c>
      <c r="J11" s="122">
        <f t="shared" si="3"/>
        <v>31301.550955321094</v>
      </c>
      <c r="N11" s="124" t="s">
        <v>132</v>
      </c>
      <c r="O11" s="36"/>
      <c r="P11" s="182">
        <v>0.12</v>
      </c>
      <c r="Q11" s="40">
        <f>P11</f>
        <v>0.12</v>
      </c>
      <c r="R11" s="40">
        <f t="shared" ref="R11:U12" si="4">Q11</f>
        <v>0.12</v>
      </c>
      <c r="S11" s="40">
        <f t="shared" si="4"/>
        <v>0.12</v>
      </c>
      <c r="T11" s="40">
        <f t="shared" si="4"/>
        <v>0.12</v>
      </c>
      <c r="U11" s="40">
        <f t="shared" si="4"/>
        <v>0.12</v>
      </c>
      <c r="V11" s="138">
        <f t="shared" ref="V11:V12" si="5">U11</f>
        <v>0.12</v>
      </c>
    </row>
    <row r="12" spans="1:24" s="3" customFormat="1" ht="12.75">
      <c r="B12" s="124" t="s">
        <v>303</v>
      </c>
      <c r="C12" s="120"/>
      <c r="D12" s="121">
        <f>'Historical IS'!H12*stub/(1-stub)</f>
        <v>8456.3400549450525</v>
      </c>
      <c r="E12" s="121">
        <f>D12*(1+Q10)/stub</f>
        <v>11704.804649142856</v>
      </c>
      <c r="F12" s="121">
        <f t="shared" si="3"/>
        <v>12290.044881599999</v>
      </c>
      <c r="G12" s="121">
        <f t="shared" si="3"/>
        <v>12904.547125679999</v>
      </c>
      <c r="H12" s="121">
        <f t="shared" si="3"/>
        <v>13549.774481963999</v>
      </c>
      <c r="I12" s="121">
        <f t="shared" si="3"/>
        <v>14227.2632060622</v>
      </c>
      <c r="J12" s="122">
        <f t="shared" si="3"/>
        <v>14654.081102244067</v>
      </c>
      <c r="N12" s="124" t="s">
        <v>207</v>
      </c>
      <c r="O12" s="36"/>
      <c r="P12" s="182">
        <v>0.25</v>
      </c>
      <c r="Q12" s="40">
        <f>P12</f>
        <v>0.25</v>
      </c>
      <c r="R12" s="40">
        <f t="shared" si="4"/>
        <v>0.25</v>
      </c>
      <c r="S12" s="40">
        <f t="shared" si="4"/>
        <v>0.25</v>
      </c>
      <c r="T12" s="40">
        <f t="shared" si="4"/>
        <v>0.25</v>
      </c>
      <c r="U12" s="40">
        <f t="shared" si="4"/>
        <v>0.25</v>
      </c>
      <c r="V12" s="138">
        <f t="shared" si="5"/>
        <v>0.25</v>
      </c>
    </row>
    <row r="13" spans="1:24" s="3" customFormat="1" ht="12.75">
      <c r="B13" s="125" t="s">
        <v>285</v>
      </c>
      <c r="C13" s="126"/>
      <c r="D13" s="127">
        <f t="shared" ref="D13:J13" si="6">SUM(D11:D12)</f>
        <v>24894.522170329663</v>
      </c>
      <c r="E13" s="127">
        <f t="shared" si="6"/>
        <v>34895.194225450541</v>
      </c>
      <c r="F13" s="127">
        <f t="shared" si="6"/>
        <v>37103.761728249228</v>
      </c>
      <c r="G13" s="127">
        <f t="shared" si="6"/>
        <v>39703.361320061165</v>
      </c>
      <c r="H13" s="127">
        <f t="shared" si="6"/>
        <v>42492.493811895663</v>
      </c>
      <c r="I13" s="127">
        <f t="shared" si="6"/>
        <v>44617.118502490448</v>
      </c>
      <c r="J13" s="128">
        <f t="shared" si="6"/>
        <v>45955.632057565163</v>
      </c>
      <c r="N13" s="124" t="s">
        <v>206</v>
      </c>
      <c r="O13" s="36"/>
      <c r="P13" s="182">
        <v>0.1</v>
      </c>
      <c r="Q13" s="40">
        <f t="shared" ref="Q13:U13" si="7">P13</f>
        <v>0.1</v>
      </c>
      <c r="R13" s="40">
        <f t="shared" si="7"/>
        <v>0.1</v>
      </c>
      <c r="S13" s="40">
        <f t="shared" si="7"/>
        <v>0.1</v>
      </c>
      <c r="T13" s="40">
        <f t="shared" si="7"/>
        <v>0.1</v>
      </c>
      <c r="U13" s="40">
        <f t="shared" si="7"/>
        <v>0.1</v>
      </c>
      <c r="V13" s="138">
        <f t="shared" ref="V13" si="8">U13</f>
        <v>0.1</v>
      </c>
    </row>
    <row r="14" spans="1:24" s="3" customFormat="1" ht="12.75">
      <c r="B14" s="119" t="s">
        <v>114</v>
      </c>
      <c r="C14" s="120"/>
      <c r="D14" s="531">
        <f t="shared" ref="D14:J14" si="9">-D13*P11</f>
        <v>-2987.3426604395595</v>
      </c>
      <c r="E14" s="531">
        <f t="shared" si="9"/>
        <v>-4187.4233070540649</v>
      </c>
      <c r="F14" s="531">
        <f t="shared" si="9"/>
        <v>-4452.4514073899072</v>
      </c>
      <c r="G14" s="531">
        <f t="shared" si="9"/>
        <v>-4764.4033584073395</v>
      </c>
      <c r="H14" s="531">
        <f t="shared" si="9"/>
        <v>-5099.0992574274796</v>
      </c>
      <c r="I14" s="531">
        <f t="shared" si="9"/>
        <v>-5354.0542202988536</v>
      </c>
      <c r="J14" s="532">
        <f t="shared" si="9"/>
        <v>-5514.6758469078195</v>
      </c>
      <c r="N14" s="124" t="s">
        <v>208</v>
      </c>
      <c r="O14" s="36"/>
      <c r="P14" s="182">
        <v>0.1</v>
      </c>
      <c r="Q14" s="40">
        <f t="shared" ref="Q14:U14" si="10">P14</f>
        <v>0.1</v>
      </c>
      <c r="R14" s="40">
        <f t="shared" si="10"/>
        <v>0.1</v>
      </c>
      <c r="S14" s="40">
        <f t="shared" si="10"/>
        <v>0.1</v>
      </c>
      <c r="T14" s="40">
        <f t="shared" si="10"/>
        <v>0.1</v>
      </c>
      <c r="U14" s="40">
        <f t="shared" si="10"/>
        <v>0.1</v>
      </c>
      <c r="V14" s="138">
        <f t="shared" ref="V14" si="11">U14</f>
        <v>0.1</v>
      </c>
    </row>
    <row r="15" spans="1:24" s="3" customFormat="1" ht="12.75">
      <c r="B15" s="222" t="s">
        <v>63</v>
      </c>
      <c r="C15" s="327"/>
      <c r="D15" s="328">
        <f>SUM(D13:D14)</f>
        <v>21907.179509890102</v>
      </c>
      <c r="E15" s="328">
        <f t="shared" ref="E15:J15" si="12">SUM(E13:E14)</f>
        <v>30707.770918396476</v>
      </c>
      <c r="F15" s="328">
        <f t="shared" si="12"/>
        <v>32651.31032085932</v>
      </c>
      <c r="G15" s="328">
        <f t="shared" si="12"/>
        <v>34938.957961653825</v>
      </c>
      <c r="H15" s="328">
        <f>SUM(H13:H14)</f>
        <v>37393.394554468185</v>
      </c>
      <c r="I15" s="328">
        <f t="shared" ref="I15" si="13">SUM(I13:I14)</f>
        <v>39263.064282191597</v>
      </c>
      <c r="J15" s="329">
        <f t="shared" si="12"/>
        <v>40440.956210657343</v>
      </c>
      <c r="N15" s="124" t="s">
        <v>76</v>
      </c>
      <c r="O15" s="36"/>
      <c r="P15" s="182">
        <v>0.03</v>
      </c>
      <c r="Q15" s="40">
        <f>P15</f>
        <v>0.03</v>
      </c>
      <c r="R15" s="40">
        <f t="shared" ref="R15:V16" si="14">Q15</f>
        <v>0.03</v>
      </c>
      <c r="S15" s="40">
        <f t="shared" si="14"/>
        <v>0.03</v>
      </c>
      <c r="T15" s="40">
        <f t="shared" si="14"/>
        <v>0.03</v>
      </c>
      <c r="U15" s="40">
        <f t="shared" si="14"/>
        <v>0.03</v>
      </c>
      <c r="V15" s="138">
        <f t="shared" si="14"/>
        <v>0.03</v>
      </c>
    </row>
    <row r="16" spans="1:24" s="3" customFormat="1" ht="9.9499999999999993" customHeight="1" thickBot="1">
      <c r="B16" s="119"/>
      <c r="C16" s="120"/>
      <c r="D16" s="121"/>
      <c r="E16" s="121"/>
      <c r="F16" s="121"/>
      <c r="G16" s="121"/>
      <c r="H16" s="121"/>
      <c r="I16" s="121"/>
      <c r="J16" s="122"/>
      <c r="N16" s="140" t="s">
        <v>77</v>
      </c>
      <c r="O16" s="58"/>
      <c r="P16" s="412">
        <v>0</v>
      </c>
      <c r="Q16" s="141">
        <f>P16</f>
        <v>0</v>
      </c>
      <c r="R16" s="141">
        <f t="shared" si="14"/>
        <v>0</v>
      </c>
      <c r="S16" s="141">
        <f t="shared" si="14"/>
        <v>0</v>
      </c>
      <c r="T16" s="141">
        <f t="shared" si="14"/>
        <v>0</v>
      </c>
      <c r="U16" s="141">
        <f t="shared" si="14"/>
        <v>0</v>
      </c>
      <c r="V16" s="142">
        <f t="shared" si="14"/>
        <v>0</v>
      </c>
    </row>
    <row r="17" spans="2:22" s="3" customFormat="1" ht="12.75">
      <c r="B17" s="124" t="s">
        <v>64</v>
      </c>
      <c r="C17" s="120"/>
      <c r="D17" s="129"/>
      <c r="E17" s="129"/>
      <c r="F17" s="129"/>
      <c r="G17" s="129"/>
      <c r="H17" s="129"/>
      <c r="I17" s="129"/>
      <c r="J17" s="130"/>
    </row>
    <row r="18" spans="2:22" s="3" customFormat="1" ht="12.75">
      <c r="B18" s="124" t="s">
        <v>207</v>
      </c>
      <c r="C18" s="120"/>
      <c r="D18" s="533">
        <f t="shared" ref="D18:J20" si="15">-D$13*P12</f>
        <v>-6223.6305425824157</v>
      </c>
      <c r="E18" s="533">
        <f t="shared" si="15"/>
        <v>-8723.7985563626353</v>
      </c>
      <c r="F18" s="533">
        <f t="shared" si="15"/>
        <v>-9275.9404320623071</v>
      </c>
      <c r="G18" s="533">
        <f t="shared" si="15"/>
        <v>-9925.8403300152913</v>
      </c>
      <c r="H18" s="533">
        <f t="shared" si="15"/>
        <v>-10623.123452973916</v>
      </c>
      <c r="I18" s="533">
        <f t="shared" si="15"/>
        <v>-11154.279625622612</v>
      </c>
      <c r="J18" s="534">
        <f t="shared" si="15"/>
        <v>-11488.908014391291</v>
      </c>
    </row>
    <row r="19" spans="2:22" s="3" customFormat="1" ht="12.75">
      <c r="B19" s="124" t="s">
        <v>206</v>
      </c>
      <c r="C19" s="120"/>
      <c r="D19" s="533">
        <f t="shared" si="15"/>
        <v>-2489.4522170329665</v>
      </c>
      <c r="E19" s="533">
        <f t="shared" si="15"/>
        <v>-3489.5194225450541</v>
      </c>
      <c r="F19" s="533">
        <f t="shared" si="15"/>
        <v>-3710.3761728249228</v>
      </c>
      <c r="G19" s="533">
        <f t="shared" si="15"/>
        <v>-3970.3361320061167</v>
      </c>
      <c r="H19" s="533">
        <f t="shared" si="15"/>
        <v>-4249.2493811895665</v>
      </c>
      <c r="I19" s="533">
        <f t="shared" si="15"/>
        <v>-4461.7118502490448</v>
      </c>
      <c r="J19" s="534">
        <f t="shared" si="15"/>
        <v>-4595.5632057565163</v>
      </c>
      <c r="N19" s="190"/>
      <c r="O19" s="190"/>
      <c r="P19" s="54"/>
      <c r="Q19" s="54"/>
      <c r="R19" s="54"/>
      <c r="S19" s="54"/>
      <c r="T19" s="54"/>
      <c r="U19" s="54"/>
      <c r="V19" s="411"/>
    </row>
    <row r="20" spans="2:22" s="3" customFormat="1" ht="13.5" thickBot="1">
      <c r="B20" s="124" t="s">
        <v>208</v>
      </c>
      <c r="C20" s="120"/>
      <c r="D20" s="533">
        <f t="shared" si="15"/>
        <v>-2489.4522170329665</v>
      </c>
      <c r="E20" s="533">
        <f t="shared" si="15"/>
        <v>-3489.5194225450541</v>
      </c>
      <c r="F20" s="533">
        <f t="shared" si="15"/>
        <v>-3710.3761728249228</v>
      </c>
      <c r="G20" s="533">
        <f t="shared" si="15"/>
        <v>-3970.3361320061167</v>
      </c>
      <c r="H20" s="533">
        <f t="shared" si="15"/>
        <v>-4249.2493811895665</v>
      </c>
      <c r="I20" s="533">
        <f t="shared" si="15"/>
        <v>-4461.7118502490448</v>
      </c>
      <c r="J20" s="534">
        <f t="shared" si="15"/>
        <v>-4595.5632057565163</v>
      </c>
      <c r="N20" s="190"/>
      <c r="O20" s="190"/>
      <c r="P20" s="54"/>
      <c r="Q20" s="54"/>
      <c r="R20" s="54"/>
      <c r="S20" s="54"/>
      <c r="T20" s="54"/>
      <c r="U20" s="54"/>
      <c r="V20" s="411"/>
    </row>
    <row r="21" spans="2:22" s="3" customFormat="1" ht="12.75">
      <c r="B21" s="125" t="s">
        <v>324</v>
      </c>
      <c r="C21" s="120"/>
      <c r="D21" s="535">
        <f>SUM(D18:D20)</f>
        <v>-11202.534976648349</v>
      </c>
      <c r="E21" s="535">
        <f t="shared" ref="E21:J21" si="16">SUM(E18:E20)</f>
        <v>-15702.837401452744</v>
      </c>
      <c r="F21" s="535">
        <f t="shared" si="16"/>
        <v>-16696.692777712153</v>
      </c>
      <c r="G21" s="535">
        <f t="shared" si="16"/>
        <v>-17866.512594027525</v>
      </c>
      <c r="H21" s="535">
        <f t="shared" si="16"/>
        <v>-19121.622215353047</v>
      </c>
      <c r="I21" s="535">
        <f t="shared" si="16"/>
        <v>-20077.703326120703</v>
      </c>
      <c r="J21" s="536">
        <f t="shared" si="16"/>
        <v>-20680.034425904323</v>
      </c>
      <c r="N21" s="117" t="s">
        <v>330</v>
      </c>
      <c r="O21" s="118"/>
      <c r="P21" s="319">
        <f t="shared" ref="P21:V21" si="17">D8</f>
        <v>44196</v>
      </c>
      <c r="Q21" s="319">
        <f t="shared" si="17"/>
        <v>44561</v>
      </c>
      <c r="R21" s="319">
        <f t="shared" si="17"/>
        <v>44926</v>
      </c>
      <c r="S21" s="319">
        <f t="shared" si="17"/>
        <v>45291</v>
      </c>
      <c r="T21" s="319">
        <f t="shared" si="17"/>
        <v>45656</v>
      </c>
      <c r="U21" s="319">
        <f t="shared" si="17"/>
        <v>46021</v>
      </c>
      <c r="V21" s="320">
        <f t="shared" si="17"/>
        <v>46386</v>
      </c>
    </row>
    <row r="22" spans="2:22" s="3" customFormat="1" ht="12.75">
      <c r="B22" s="222" t="s">
        <v>65</v>
      </c>
      <c r="C22" s="327"/>
      <c r="D22" s="328">
        <f>D21+D15</f>
        <v>10704.644533241753</v>
      </c>
      <c r="E22" s="328">
        <f t="shared" ref="E22:J22" si="18">E21+E15</f>
        <v>15004.933516943733</v>
      </c>
      <c r="F22" s="328">
        <f t="shared" si="18"/>
        <v>15954.617543147167</v>
      </c>
      <c r="G22" s="328">
        <f t="shared" si="18"/>
        <v>17072.4453676263</v>
      </c>
      <c r="H22" s="328">
        <f t="shared" si="18"/>
        <v>18271.772339115138</v>
      </c>
      <c r="I22" s="328">
        <f t="shared" si="18"/>
        <v>19185.360956070894</v>
      </c>
      <c r="J22" s="329">
        <f t="shared" si="18"/>
        <v>19760.92178475302</v>
      </c>
      <c r="N22" s="124" t="s">
        <v>72</v>
      </c>
      <c r="O22" s="36"/>
      <c r="P22" s="41" t="s">
        <v>78</v>
      </c>
      <c r="Q22" s="408">
        <f>E13/(D13/stub)-1</f>
        <v>5.3206264416656435E-2</v>
      </c>
      <c r="R22" s="408">
        <f>F13/E13-1</f>
        <v>6.3291451783577868E-2</v>
      </c>
      <c r="S22" s="408">
        <f>G13/F13-1</f>
        <v>7.0062965875309358E-2</v>
      </c>
      <c r="T22" s="408">
        <f>H13/G13-1</f>
        <v>7.0249278627832812E-2</v>
      </c>
      <c r="U22" s="408">
        <f>I13/H13-1</f>
        <v>5.0000000000000044E-2</v>
      </c>
      <c r="V22" s="138">
        <f>J13/I13-1</f>
        <v>3.0000000000000027E-2</v>
      </c>
    </row>
    <row r="23" spans="2:22" s="3" customFormat="1" ht="9.9499999999999993" customHeight="1">
      <c r="B23" s="119"/>
      <c r="C23" s="120"/>
      <c r="D23" s="121"/>
      <c r="E23" s="121"/>
      <c r="F23" s="121"/>
      <c r="G23" s="121"/>
      <c r="H23" s="121"/>
      <c r="I23" s="121"/>
      <c r="J23" s="122"/>
      <c r="N23" s="124" t="s">
        <v>73</v>
      </c>
      <c r="O23" s="36"/>
      <c r="P23" s="545">
        <f t="shared" ref="P23:V23" si="19">D15/D$13</f>
        <v>0.87999999999999989</v>
      </c>
      <c r="Q23" s="545">
        <f t="shared" si="19"/>
        <v>0.88</v>
      </c>
      <c r="R23" s="545">
        <f t="shared" si="19"/>
        <v>0.88</v>
      </c>
      <c r="S23" s="545">
        <f t="shared" si="19"/>
        <v>0.88</v>
      </c>
      <c r="T23" s="545">
        <f t="shared" si="19"/>
        <v>0.88</v>
      </c>
      <c r="U23" s="545">
        <f t="shared" si="19"/>
        <v>0.88000000000000012</v>
      </c>
      <c r="V23" s="561">
        <f t="shared" si="19"/>
        <v>0.88</v>
      </c>
    </row>
    <row r="24" spans="2:22" s="3" customFormat="1" ht="12.75">
      <c r="B24" s="119" t="s">
        <v>66</v>
      </c>
      <c r="C24" s="120"/>
      <c r="D24" s="533">
        <f t="shared" ref="D24:J25" si="20">-D$13*P15</f>
        <v>-746.83566510988987</v>
      </c>
      <c r="E24" s="533">
        <f t="shared" si="20"/>
        <v>-1046.8558267635162</v>
      </c>
      <c r="F24" s="533">
        <f t="shared" si="20"/>
        <v>-1113.1128518474768</v>
      </c>
      <c r="G24" s="533">
        <f t="shared" si="20"/>
        <v>-1191.1008396018349</v>
      </c>
      <c r="H24" s="533">
        <f t="shared" si="20"/>
        <v>-1274.7748143568699</v>
      </c>
      <c r="I24" s="533">
        <f t="shared" si="20"/>
        <v>-1338.5135550747134</v>
      </c>
      <c r="J24" s="534">
        <f t="shared" si="20"/>
        <v>-1378.6689617269549</v>
      </c>
      <c r="N24" s="124" t="s">
        <v>133</v>
      </c>
      <c r="O24" s="36"/>
      <c r="P24" s="545">
        <f t="shared" ref="P24:V25" si="21">D21/D$13</f>
        <v>-0.45</v>
      </c>
      <c r="Q24" s="545">
        <f t="shared" si="21"/>
        <v>-0.45</v>
      </c>
      <c r="R24" s="545">
        <f t="shared" si="21"/>
        <v>-0.45</v>
      </c>
      <c r="S24" s="545">
        <f t="shared" si="21"/>
        <v>-0.45</v>
      </c>
      <c r="T24" s="545">
        <f t="shared" si="21"/>
        <v>-0.44999999999999996</v>
      </c>
      <c r="U24" s="545">
        <f t="shared" si="21"/>
        <v>-0.45000000000000007</v>
      </c>
      <c r="V24" s="561">
        <f t="shared" si="21"/>
        <v>-0.45</v>
      </c>
    </row>
    <row r="25" spans="2:22" s="3" customFormat="1" ht="12.75">
      <c r="B25" s="119" t="s">
        <v>67</v>
      </c>
      <c r="C25" s="120"/>
      <c r="D25" s="409">
        <f t="shared" si="20"/>
        <v>0</v>
      </c>
      <c r="E25" s="409">
        <f t="shared" si="20"/>
        <v>0</v>
      </c>
      <c r="F25" s="409">
        <f t="shared" si="20"/>
        <v>0</v>
      </c>
      <c r="G25" s="409">
        <f t="shared" si="20"/>
        <v>0</v>
      </c>
      <c r="H25" s="409">
        <f t="shared" si="20"/>
        <v>0</v>
      </c>
      <c r="I25" s="409">
        <f t="shared" si="20"/>
        <v>0</v>
      </c>
      <c r="J25" s="410">
        <f t="shared" si="20"/>
        <v>0</v>
      </c>
      <c r="N25" s="124" t="s">
        <v>74</v>
      </c>
      <c r="O25" s="36"/>
      <c r="P25" s="545">
        <f t="shared" si="21"/>
        <v>0.42999999999999994</v>
      </c>
      <c r="Q25" s="545">
        <f t="shared" si="21"/>
        <v>0.43</v>
      </c>
      <c r="R25" s="545">
        <f t="shared" si="21"/>
        <v>0.43</v>
      </c>
      <c r="S25" s="545">
        <f t="shared" si="21"/>
        <v>0.43</v>
      </c>
      <c r="T25" s="545">
        <f t="shared" si="21"/>
        <v>0.43000000000000005</v>
      </c>
      <c r="U25" s="545">
        <f t="shared" si="21"/>
        <v>0.43000000000000005</v>
      </c>
      <c r="V25" s="561">
        <f t="shared" si="21"/>
        <v>0.43</v>
      </c>
    </row>
    <row r="26" spans="2:22" s="3" customFormat="1" ht="12.75">
      <c r="B26" s="119" t="s">
        <v>68</v>
      </c>
      <c r="C26" s="120"/>
      <c r="D26" s="121">
        <f>SUM(D22:D25)</f>
        <v>9957.8088681318641</v>
      </c>
      <c r="E26" s="121">
        <f t="shared" ref="E26:J26" si="22">SUM(E22:E25)</f>
        <v>13958.077690180216</v>
      </c>
      <c r="F26" s="121">
        <f t="shared" si="22"/>
        <v>14841.504691299691</v>
      </c>
      <c r="G26" s="121">
        <f t="shared" si="22"/>
        <v>15881.344528024465</v>
      </c>
      <c r="H26" s="121">
        <f t="shared" ref="H26" si="23">SUM(H22:H25)</f>
        <v>16996.997524758266</v>
      </c>
      <c r="I26" s="121">
        <f t="shared" ref="I26" si="24">SUM(I22:I25)</f>
        <v>17846.847400996179</v>
      </c>
      <c r="J26" s="122">
        <f t="shared" si="22"/>
        <v>18382.252823026065</v>
      </c>
      <c r="N26" s="124" t="s">
        <v>75</v>
      </c>
      <c r="O26" s="36"/>
      <c r="P26" s="545">
        <f t="shared" ref="P26:V26" si="25">D26/D$13</f>
        <v>0.39999999999999997</v>
      </c>
      <c r="Q26" s="545">
        <f t="shared" si="25"/>
        <v>0.4</v>
      </c>
      <c r="R26" s="545">
        <f t="shared" si="25"/>
        <v>0.4</v>
      </c>
      <c r="S26" s="545">
        <f t="shared" si="25"/>
        <v>0.39999999999999997</v>
      </c>
      <c r="T26" s="545">
        <f t="shared" si="25"/>
        <v>0.4</v>
      </c>
      <c r="U26" s="545">
        <f t="shared" si="25"/>
        <v>0.4</v>
      </c>
      <c r="V26" s="561">
        <f t="shared" si="25"/>
        <v>0.4</v>
      </c>
    </row>
    <row r="27" spans="2:22" s="3" customFormat="1" ht="9.9499999999999993" customHeight="1" thickBot="1">
      <c r="B27" s="119"/>
      <c r="C27" s="120"/>
      <c r="D27" s="121"/>
      <c r="E27" s="121"/>
      <c r="F27" s="121"/>
      <c r="G27" s="121"/>
      <c r="H27" s="121"/>
      <c r="I27" s="121"/>
      <c r="J27" s="122"/>
      <c r="N27" s="140" t="s">
        <v>331</v>
      </c>
      <c r="O27" s="58"/>
      <c r="P27" s="547">
        <f t="shared" ref="P27:V27" si="26">D29/D$13</f>
        <v>0.29543999999999998</v>
      </c>
      <c r="Q27" s="547">
        <f t="shared" si="26"/>
        <v>0.29543999999999998</v>
      </c>
      <c r="R27" s="547">
        <f t="shared" si="26"/>
        <v>0.29543999999999998</v>
      </c>
      <c r="S27" s="547">
        <f t="shared" si="26"/>
        <v>0.29543999999999992</v>
      </c>
      <c r="T27" s="547">
        <f t="shared" si="26"/>
        <v>0.29543999999999998</v>
      </c>
      <c r="U27" s="547">
        <f t="shared" si="26"/>
        <v>0.29543999999999998</v>
      </c>
      <c r="V27" s="562">
        <f t="shared" si="26"/>
        <v>0.29543999999999998</v>
      </c>
    </row>
    <row r="28" spans="2:22" s="3" customFormat="1" ht="12.75" customHeight="1">
      <c r="B28" s="119" t="s">
        <v>69</v>
      </c>
      <c r="C28" s="131">
        <f>tax_rate</f>
        <v>0.26140000000000002</v>
      </c>
      <c r="D28" s="521">
        <f>-$C$28*MAX(D26,0)</f>
        <v>-2602.9712381296695</v>
      </c>
      <c r="E28" s="521">
        <f t="shared" ref="E28:G28" si="27">-$C$28*MAX(E26,0)</f>
        <v>-3648.6415082131089</v>
      </c>
      <c r="F28" s="521">
        <f t="shared" si="27"/>
        <v>-3879.5693263057397</v>
      </c>
      <c r="G28" s="521">
        <f t="shared" si="27"/>
        <v>-4151.3834596255956</v>
      </c>
      <c r="H28" s="521">
        <f t="shared" ref="H28:I28" si="28">-$C$28*MAX(H26,0)</f>
        <v>-4443.0151529718114</v>
      </c>
      <c r="I28" s="521">
        <f t="shared" si="28"/>
        <v>-4665.1659106204015</v>
      </c>
      <c r="J28" s="522">
        <f t="shared" ref="J28" si="29">-$C$28*MAX(J26,0)</f>
        <v>-4805.1208879390142</v>
      </c>
    </row>
    <row r="29" spans="2:22" s="3" customFormat="1" ht="12.75">
      <c r="B29" s="413" t="s">
        <v>70</v>
      </c>
      <c r="C29" s="223"/>
      <c r="D29" s="414">
        <f>SUM(D26:D28)</f>
        <v>7354.8376300021946</v>
      </c>
      <c r="E29" s="414">
        <f t="shared" ref="E29:J29" si="30">SUM(E26:E28)</f>
        <v>10309.436181967107</v>
      </c>
      <c r="F29" s="414">
        <f t="shared" si="30"/>
        <v>10961.935364993951</v>
      </c>
      <c r="G29" s="414">
        <f t="shared" si="30"/>
        <v>11729.961068398869</v>
      </c>
      <c r="H29" s="414">
        <f t="shared" ref="H29" si="31">SUM(H26:H28)</f>
        <v>12553.982371786455</v>
      </c>
      <c r="I29" s="414">
        <f t="shared" ref="I29" si="32">SUM(I26:I28)</f>
        <v>13181.681490375777</v>
      </c>
      <c r="J29" s="415">
        <f t="shared" si="30"/>
        <v>13577.131935087051</v>
      </c>
    </row>
    <row r="30" spans="2:22" s="3" customFormat="1" ht="12.75" customHeight="1">
      <c r="B30" s="119"/>
      <c r="C30" s="120"/>
      <c r="D30" s="121"/>
      <c r="E30" s="121"/>
      <c r="F30" s="121"/>
      <c r="G30" s="121"/>
      <c r="H30" s="121"/>
      <c r="I30" s="121"/>
      <c r="J30" s="122"/>
    </row>
    <row r="31" spans="2:22" s="3" customFormat="1" ht="12.75">
      <c r="B31" s="119" t="s">
        <v>93</v>
      </c>
      <c r="C31" s="132">
        <v>0.04</v>
      </c>
      <c r="D31" s="121">
        <f t="shared" ref="D31:J31" si="33">$C$31*D13</f>
        <v>995.7808868131865</v>
      </c>
      <c r="E31" s="121">
        <f t="shared" si="33"/>
        <v>1395.8077690180216</v>
      </c>
      <c r="F31" s="121">
        <f t="shared" si="33"/>
        <v>1484.1504691299692</v>
      </c>
      <c r="G31" s="121">
        <f t="shared" si="33"/>
        <v>1588.1344528024467</v>
      </c>
      <c r="H31" s="121">
        <f t="shared" si="33"/>
        <v>1699.6997524758265</v>
      </c>
      <c r="I31" s="121">
        <f t="shared" si="33"/>
        <v>1784.684740099618</v>
      </c>
      <c r="J31" s="122">
        <f t="shared" si="33"/>
        <v>1838.2252823026065</v>
      </c>
    </row>
    <row r="32" spans="2:22" s="3" customFormat="1" ht="12.75">
      <c r="B32" s="119" t="s">
        <v>94</v>
      </c>
      <c r="C32" s="132">
        <v>0.1</v>
      </c>
      <c r="D32" s="121">
        <f t="shared" ref="D32:J32" si="34">$C$32*D13</f>
        <v>2489.4522170329665</v>
      </c>
      <c r="E32" s="121">
        <f t="shared" si="34"/>
        <v>3489.5194225450541</v>
      </c>
      <c r="F32" s="121">
        <f t="shared" si="34"/>
        <v>3710.3761728249228</v>
      </c>
      <c r="G32" s="121">
        <f t="shared" si="34"/>
        <v>3970.3361320061167</v>
      </c>
      <c r="H32" s="121">
        <f t="shared" si="34"/>
        <v>4249.2493811895665</v>
      </c>
      <c r="I32" s="121">
        <f t="shared" si="34"/>
        <v>4461.7118502490448</v>
      </c>
      <c r="J32" s="122">
        <f t="shared" si="34"/>
        <v>4595.5632057565163</v>
      </c>
    </row>
    <row r="33" spans="2:16" s="3" customFormat="1" ht="13.5" thickBot="1">
      <c r="B33" s="133" t="s">
        <v>95</v>
      </c>
      <c r="C33" s="134"/>
      <c r="D33" s="135">
        <f>(D32/stub)-P43</f>
        <v>1239.9345870329662</v>
      </c>
      <c r="E33" s="135">
        <f>E32-(D32/stub)</f>
        <v>176.28483551208774</v>
      </c>
      <c r="F33" s="135">
        <f>F32-E32</f>
        <v>220.85675027986872</v>
      </c>
      <c r="G33" s="135">
        <f t="shared" ref="G33:J33" si="35">G32-F32</f>
        <v>259.95995918119388</v>
      </c>
      <c r="H33" s="135">
        <f t="shared" si="35"/>
        <v>278.91324918344981</v>
      </c>
      <c r="I33" s="135">
        <f t="shared" si="35"/>
        <v>212.46246905947828</v>
      </c>
      <c r="J33" s="136">
        <f t="shared" si="35"/>
        <v>133.85135550747145</v>
      </c>
    </row>
    <row r="34" spans="2:16" s="3" customFormat="1" ht="12.75">
      <c r="D34" s="42"/>
    </row>
    <row r="35" spans="2:16" s="3" customFormat="1" ht="12.75">
      <c r="D35" s="42"/>
    </row>
    <row r="36" spans="2:16" s="3" customFormat="1" ht="12.75"/>
    <row r="37" spans="2:16" s="3" customFormat="1" ht="12.75"/>
    <row r="38" spans="2:16" s="3" customFormat="1" ht="12.75"/>
    <row r="39" spans="2:16" s="3" customFormat="1" ht="12.75"/>
    <row r="40" spans="2:16" s="3" customFormat="1" ht="12.75">
      <c r="B40" s="3" t="s">
        <v>216</v>
      </c>
      <c r="N40" s="3" t="str">
        <f>B40</f>
        <v>Notes:</v>
      </c>
    </row>
    <row r="41" spans="2:16" s="3" customFormat="1" ht="12.75">
      <c r="B41" s="3" t="s">
        <v>328</v>
      </c>
      <c r="N41" s="3" t="str">
        <f t="shared" ref="N41:N42" si="36">B41</f>
        <v>(a) FY2020 revenue extrapolated on basis of revenue for the first three months period ending March 31, 2020</v>
      </c>
    </row>
    <row r="42" spans="2:16" s="3" customFormat="1" ht="12.75">
      <c r="B42" s="3" t="s">
        <v>385</v>
      </c>
      <c r="N42" s="3" t="str">
        <f t="shared" si="36"/>
        <v>(b) Cost drivers predicted on the basis of past 3-year and 5-year averages of cost % revenue and based on comparable companies' metrices.</v>
      </c>
    </row>
    <row r="43" spans="2:16" s="3" customFormat="1" ht="12.75">
      <c r="M43" s="3" t="s">
        <v>386</v>
      </c>
      <c r="P43" s="42">
        <f>'Historical BS'!H46</f>
        <v>2073.3000000000002</v>
      </c>
    </row>
    <row r="44" spans="2:16" s="3" customFormat="1" ht="12.75"/>
    <row r="45" spans="2:16" s="3" customFormat="1" ht="12.75"/>
    <row r="46" spans="2:16" s="3" customFormat="1" ht="12.75"/>
    <row r="47" spans="2:16" s="3" customFormat="1" ht="12.75"/>
    <row r="48" spans="2:16" s="3" customFormat="1" ht="12.75"/>
    <row r="49" s="3" customFormat="1" ht="12.75"/>
    <row r="50" s="3" customFormat="1" ht="12.75"/>
    <row r="51" s="3" customFormat="1" ht="12.75"/>
    <row r="52" s="3" customFormat="1" ht="12.75"/>
    <row r="53" s="3" customFormat="1" ht="12.75"/>
    <row r="54" s="3" customFormat="1" ht="12.75"/>
    <row r="55" s="3" customFormat="1" ht="12.75"/>
    <row r="56" s="3" customFormat="1" ht="12.75"/>
    <row r="57" s="3" customFormat="1" ht="12.75"/>
    <row r="58" s="3" customFormat="1" ht="12.75"/>
    <row r="59" s="3" customFormat="1" ht="12.75"/>
    <row r="60" s="3" customFormat="1" ht="12.75"/>
    <row r="61" s="3" customFormat="1" ht="12.75"/>
    <row r="62" s="3" customFormat="1" ht="12.75"/>
    <row r="63" s="3" customFormat="1" ht="12.75"/>
    <row r="64" s="3" customFormat="1" ht="12.75"/>
    <row r="65" spans="2:10" s="3" customFormat="1" ht="12.75"/>
    <row r="66" spans="2:10" s="3" customFormat="1" ht="12.75"/>
    <row r="67" spans="2:10" s="3" customFormat="1" ht="12.75"/>
    <row r="68" spans="2:10" s="3" customFormat="1" ht="12.75">
      <c r="B68" s="190"/>
      <c r="C68" s="190"/>
      <c r="D68" s="54"/>
      <c r="E68" s="54"/>
      <c r="F68" s="54"/>
      <c r="G68" s="54"/>
      <c r="H68" s="54"/>
      <c r="I68" s="54"/>
      <c r="J68" s="411"/>
    </row>
    <row r="69" spans="2:10" s="3" customFormat="1" ht="12.75"/>
    <row r="70" spans="2:10" s="3" customFormat="1" ht="12.75"/>
    <row r="71" spans="2:10" s="3" customFormat="1" ht="12.75"/>
    <row r="72" spans="2:10" s="3" customFormat="1" ht="12.75"/>
    <row r="73" spans="2:10" s="3" customFormat="1" ht="12.75"/>
    <row r="74" spans="2:10" s="3" customFormat="1" ht="12.75"/>
    <row r="75" spans="2:10" s="3" customFormat="1" ht="12.75"/>
    <row r="76" spans="2:10" s="3" customFormat="1" ht="12.75"/>
    <row r="77" spans="2:10" s="3" customFormat="1" ht="12.75"/>
    <row r="78" spans="2:10" s="3" customFormat="1" ht="12.75"/>
    <row r="79" spans="2:10" s="3" customFormat="1" ht="12.75"/>
    <row r="80" spans="2:10" s="3" customFormat="1" ht="12.75"/>
    <row r="81" s="3" customFormat="1" ht="12.75"/>
    <row r="82" s="3" customFormat="1" ht="12.75"/>
    <row r="83" s="3" customFormat="1" ht="12.75"/>
    <row r="84" s="3" customFormat="1" ht="12.75"/>
    <row r="85" s="3" customFormat="1" ht="12.75"/>
    <row r="86" s="3" customFormat="1" ht="12.75"/>
    <row r="87" s="3" customFormat="1" ht="12.75"/>
    <row r="88" s="3" customFormat="1" ht="12.75"/>
    <row r="89" s="3" customFormat="1" ht="12.75"/>
    <row r="90" s="3" customFormat="1" ht="12.75"/>
    <row r="91" s="3" customFormat="1" ht="12.75"/>
    <row r="92" s="3" customFormat="1" ht="12.75"/>
    <row r="93" s="3" customFormat="1" ht="12.75"/>
    <row r="94" s="3" customFormat="1" ht="12.75"/>
    <row r="95" s="3" customFormat="1" ht="12.75"/>
  </sheetData>
  <pageMargins left="0.5" right="0.5" top="0.5" bottom="0.5" header="0.5" footer="0.5"/>
  <pageSetup fitToWidth="0" fitToHeight="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7:N13"/>
  <sheetViews>
    <sheetView showGridLines="0" view="pageBreakPreview" zoomScale="55" zoomScaleNormal="100" zoomScaleSheetLayoutView="55" workbookViewId="0"/>
  </sheetViews>
  <sheetFormatPr defaultRowHeight="15"/>
  <sheetData>
    <row r="7" spans="2:14" ht="15.75" thickBot="1"/>
    <row r="8" spans="2:14">
      <c r="B8" s="771" t="s">
        <v>549</v>
      </c>
      <c r="C8" s="771"/>
      <c r="D8" s="771"/>
      <c r="E8" s="771"/>
      <c r="F8" s="771"/>
      <c r="G8" s="771"/>
      <c r="H8" s="771"/>
      <c r="I8" s="771"/>
      <c r="J8" s="771"/>
      <c r="K8" s="771"/>
      <c r="L8" s="771"/>
      <c r="M8" s="771"/>
      <c r="N8" s="771"/>
    </row>
    <row r="9" spans="2:14">
      <c r="B9" s="772"/>
      <c r="C9" s="772"/>
      <c r="D9" s="772"/>
      <c r="E9" s="772"/>
      <c r="F9" s="772"/>
      <c r="G9" s="772"/>
      <c r="H9" s="772"/>
      <c r="I9" s="772"/>
      <c r="J9" s="772"/>
      <c r="K9" s="772"/>
      <c r="L9" s="772"/>
      <c r="M9" s="772"/>
      <c r="N9" s="772"/>
    </row>
    <row r="10" spans="2:14">
      <c r="B10" s="772"/>
      <c r="C10" s="772"/>
      <c r="D10" s="772"/>
      <c r="E10" s="772"/>
      <c r="F10" s="772"/>
      <c r="G10" s="772"/>
      <c r="H10" s="772"/>
      <c r="I10" s="772"/>
      <c r="J10" s="772"/>
      <c r="K10" s="772"/>
      <c r="L10" s="772"/>
      <c r="M10" s="772"/>
      <c r="N10" s="772"/>
    </row>
    <row r="11" spans="2:14">
      <c r="B11" s="772"/>
      <c r="C11" s="772"/>
      <c r="D11" s="772"/>
      <c r="E11" s="772"/>
      <c r="F11" s="772"/>
      <c r="G11" s="772"/>
      <c r="H11" s="772"/>
      <c r="I11" s="772"/>
      <c r="J11" s="772"/>
      <c r="K11" s="772"/>
      <c r="L11" s="772"/>
      <c r="M11" s="772"/>
      <c r="N11" s="772"/>
    </row>
    <row r="12" spans="2:14">
      <c r="B12" s="772"/>
      <c r="C12" s="772"/>
      <c r="D12" s="772"/>
      <c r="E12" s="772"/>
      <c r="F12" s="772"/>
      <c r="G12" s="772"/>
      <c r="H12" s="772"/>
      <c r="I12" s="772"/>
      <c r="J12" s="772"/>
      <c r="K12" s="772"/>
      <c r="L12" s="772"/>
      <c r="M12" s="772"/>
      <c r="N12" s="772"/>
    </row>
    <row r="13" spans="2:14" ht="15.75" thickBot="1">
      <c r="B13" s="773"/>
      <c r="C13" s="773"/>
      <c r="D13" s="773"/>
      <c r="E13" s="773"/>
      <c r="F13" s="773"/>
      <c r="G13" s="773"/>
      <c r="H13" s="773"/>
      <c r="I13" s="773"/>
      <c r="J13" s="773"/>
      <c r="K13" s="773"/>
      <c r="L13" s="773"/>
      <c r="M13" s="773"/>
      <c r="N13" s="773"/>
    </row>
  </sheetData>
  <mergeCells count="1">
    <mergeCell ref="B8:N13"/>
  </mergeCells>
  <pageMargins left="0.5" right="0.5" top="0.5" bottom="0.5" header="0.3" footer="0.3"/>
  <pageSetup scale="9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S42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4" max="4" width="8.5703125" customWidth="1"/>
    <col min="5" max="5" width="7.5703125" customWidth="1"/>
    <col min="7" max="14" width="9.5703125" customWidth="1"/>
    <col min="15" max="15" width="2.7109375" customWidth="1"/>
  </cols>
  <sheetData>
    <row r="1" spans="2:19" ht="15.75">
      <c r="B1" s="18" t="str">
        <f>Acq_name</f>
        <v>[Acq.Co. Holdings Ltd.]</v>
      </c>
      <c r="N1" s="34" t="str">
        <f>"Exhibit: "&amp;INDEX(TOC!$B$5:$E$34,MATCH($B$3,TOC!$E$5:$E$36,0),COLUMNS(TOC!I5))&amp;P1</f>
        <v>Exhibit: I</v>
      </c>
    </row>
    <row r="2" spans="2:19">
      <c r="B2" s="19" t="str">
        <f>Targ_name</f>
        <v>[ABC Corporation]</v>
      </c>
    </row>
    <row r="3" spans="2:19">
      <c r="B3" s="20" t="str">
        <f>TOC!E21</f>
        <v>Trademark and Tradenames</v>
      </c>
    </row>
    <row r="4" spans="2:19">
      <c r="B4" s="25" t="str">
        <f>"Valuation as of "&amp;TEXT(Val_date,"DD MMMM YYYY")</f>
        <v>Valuation as of 31 March 2020</v>
      </c>
    </row>
    <row r="5" spans="2:19">
      <c r="B5" s="27" t="str">
        <f>'Key Inputs and Assumptions'!C24</f>
        <v>(in USD ‘000s unless specified otherwise)</v>
      </c>
    </row>
    <row r="6" spans="2:19" ht="15.75" thickBot="1"/>
    <row r="7" spans="2:19" ht="27.95" customHeight="1">
      <c r="B7" s="767" t="s">
        <v>323</v>
      </c>
      <c r="C7" s="768"/>
      <c r="D7" s="768"/>
      <c r="E7" s="768"/>
      <c r="F7" s="768"/>
      <c r="G7" s="247" t="s">
        <v>128</v>
      </c>
      <c r="H7" s="769" t="s">
        <v>0</v>
      </c>
      <c r="I7" s="769"/>
      <c r="J7" s="769"/>
      <c r="K7" s="769"/>
      <c r="L7" s="769"/>
      <c r="M7" s="769"/>
      <c r="N7" s="248" t="s">
        <v>131</v>
      </c>
    </row>
    <row r="8" spans="2:19">
      <c r="B8" s="234"/>
      <c r="C8" s="235"/>
      <c r="D8" s="235"/>
      <c r="E8" s="236"/>
      <c r="F8" s="237"/>
      <c r="G8" s="238">
        <f>'Key Inputs and Assumptions'!C16</f>
        <v>44196</v>
      </c>
      <c r="H8" s="238">
        <f>G8+365</f>
        <v>44561</v>
      </c>
      <c r="I8" s="238">
        <f t="shared" ref="I8:M8" si="0">H8+365</f>
        <v>44926</v>
      </c>
      <c r="J8" s="238">
        <f t="shared" si="0"/>
        <v>45291</v>
      </c>
      <c r="K8" s="238">
        <f t="shared" si="0"/>
        <v>45656</v>
      </c>
      <c r="L8" s="238">
        <f t="shared" si="0"/>
        <v>46021</v>
      </c>
      <c r="M8" s="238">
        <f t="shared" si="0"/>
        <v>46386</v>
      </c>
      <c r="N8" s="471" t="s">
        <v>378</v>
      </c>
    </row>
    <row r="9" spans="2:19">
      <c r="B9" s="119" t="s">
        <v>62</v>
      </c>
      <c r="C9" s="120"/>
      <c r="D9" s="120"/>
      <c r="E9" s="120"/>
      <c r="F9" s="132"/>
      <c r="G9" s="121">
        <f>PFI!D13</f>
        <v>24894.522170329663</v>
      </c>
      <c r="H9" s="121">
        <f>PFI!E13</f>
        <v>34895.194225450541</v>
      </c>
      <c r="I9" s="121">
        <f>PFI!F13</f>
        <v>37103.761728249228</v>
      </c>
      <c r="J9" s="121">
        <f>PFI!G13</f>
        <v>39703.361320061165</v>
      </c>
      <c r="K9" s="121">
        <f>PFI!H13</f>
        <v>42492.493811895663</v>
      </c>
      <c r="L9" s="121">
        <f>PFI!I13</f>
        <v>44617.118502490448</v>
      </c>
      <c r="M9" s="121">
        <f>PFI!J13</f>
        <v>45955.632057565163</v>
      </c>
      <c r="N9" s="122">
        <f>M9*(1+LTGR)</f>
        <v>47334.301019292121</v>
      </c>
    </row>
    <row r="10" spans="2:19">
      <c r="B10" s="119" t="s">
        <v>106</v>
      </c>
      <c r="C10" s="120"/>
      <c r="D10" s="33" t="s">
        <v>172</v>
      </c>
      <c r="E10" s="254"/>
      <c r="F10" s="476">
        <f>'Key Inputs and Assumptions'!$C$35</f>
        <v>3.5000000000000003E-2</v>
      </c>
      <c r="G10" s="121">
        <f>$F$10*G9</f>
        <v>871.30827596153824</v>
      </c>
      <c r="H10" s="121">
        <f t="shared" ref="H10:N10" si="1">$F$10*H9</f>
        <v>1221.3317978907692</v>
      </c>
      <c r="I10" s="121">
        <f t="shared" si="1"/>
        <v>1298.6316604887231</v>
      </c>
      <c r="J10" s="121">
        <f t="shared" si="1"/>
        <v>1389.617646202141</v>
      </c>
      <c r="K10" s="121">
        <f t="shared" si="1"/>
        <v>1487.2372834163484</v>
      </c>
      <c r="L10" s="121">
        <f t="shared" si="1"/>
        <v>1561.5991475871658</v>
      </c>
      <c r="M10" s="121">
        <f t="shared" si="1"/>
        <v>1608.4471220147809</v>
      </c>
      <c r="N10" s="122">
        <f t="shared" si="1"/>
        <v>1656.7005356752245</v>
      </c>
    </row>
    <row r="11" spans="2:19">
      <c r="B11" s="119" t="s">
        <v>107</v>
      </c>
      <c r="C11" s="120"/>
      <c r="D11" s="33" t="s">
        <v>173</v>
      </c>
      <c r="E11" s="254"/>
      <c r="F11" s="476">
        <f>'Key Inputs and Assumptions'!$C$41</f>
        <v>0.02</v>
      </c>
      <c r="G11" s="521">
        <f t="shared" ref="G11:N11" si="2">-$F$11*G9</f>
        <v>-497.89044340659325</v>
      </c>
      <c r="H11" s="521">
        <f t="shared" si="2"/>
        <v>-697.90388450901082</v>
      </c>
      <c r="I11" s="521">
        <f t="shared" si="2"/>
        <v>-742.07523456498461</v>
      </c>
      <c r="J11" s="521">
        <f t="shared" si="2"/>
        <v>-794.06722640122337</v>
      </c>
      <c r="K11" s="521">
        <f t="shared" si="2"/>
        <v>-849.84987623791324</v>
      </c>
      <c r="L11" s="521">
        <f t="shared" si="2"/>
        <v>-892.34237004980901</v>
      </c>
      <c r="M11" s="521">
        <f t="shared" si="2"/>
        <v>-919.11264115130325</v>
      </c>
      <c r="N11" s="522">
        <f t="shared" si="2"/>
        <v>-946.68602038584243</v>
      </c>
    </row>
    <row r="12" spans="2:19">
      <c r="B12" s="119" t="s">
        <v>2</v>
      </c>
      <c r="C12" s="120"/>
      <c r="D12" s="267"/>
      <c r="E12" s="254"/>
      <c r="F12" s="132"/>
      <c r="G12" s="121">
        <f>SUM(G10:G11)</f>
        <v>373.41783255494499</v>
      </c>
      <c r="H12" s="121">
        <f t="shared" ref="H12:N12" si="3">SUM(H10:H11)</f>
        <v>523.42791338175834</v>
      </c>
      <c r="I12" s="121">
        <f t="shared" si="3"/>
        <v>556.55642592373852</v>
      </c>
      <c r="J12" s="121">
        <f t="shared" si="3"/>
        <v>595.55041980091767</v>
      </c>
      <c r="K12" s="121">
        <f t="shared" si="3"/>
        <v>637.38740717843518</v>
      </c>
      <c r="L12" s="121">
        <f t="shared" si="3"/>
        <v>669.25677753735681</v>
      </c>
      <c r="M12" s="121">
        <f t="shared" si="3"/>
        <v>689.33448086347767</v>
      </c>
      <c r="N12" s="122">
        <f t="shared" si="3"/>
        <v>710.01451528938208</v>
      </c>
    </row>
    <row r="13" spans="2:19">
      <c r="B13" s="119" t="s">
        <v>3</v>
      </c>
      <c r="C13" s="120"/>
      <c r="D13" s="267"/>
      <c r="E13" s="254"/>
      <c r="F13" s="131">
        <f>tax_rate</f>
        <v>0.26140000000000002</v>
      </c>
      <c r="G13" s="521">
        <f>-$F$13*G12</f>
        <v>-97.611421429862631</v>
      </c>
      <c r="H13" s="521">
        <f t="shared" ref="H13:N13" si="4">-$F$13*H12</f>
        <v>-136.82405655799164</v>
      </c>
      <c r="I13" s="521">
        <f t="shared" si="4"/>
        <v>-145.48384973646526</v>
      </c>
      <c r="J13" s="521">
        <f t="shared" si="4"/>
        <v>-155.67687973595989</v>
      </c>
      <c r="K13" s="521">
        <f t="shared" si="4"/>
        <v>-166.61306823644298</v>
      </c>
      <c r="L13" s="521">
        <f t="shared" si="4"/>
        <v>-174.9437216482651</v>
      </c>
      <c r="M13" s="521">
        <f t="shared" si="4"/>
        <v>-180.19203329771307</v>
      </c>
      <c r="N13" s="522">
        <f t="shared" si="4"/>
        <v>-185.59779429664448</v>
      </c>
    </row>
    <row r="14" spans="2:19" ht="15.75" thickBot="1">
      <c r="B14" s="257" t="s">
        <v>4</v>
      </c>
      <c r="C14" s="258"/>
      <c r="D14" s="258"/>
      <c r="E14" s="259"/>
      <c r="F14" s="259"/>
      <c r="G14" s="261">
        <f>SUM(G12:G13)</f>
        <v>275.80641112508238</v>
      </c>
      <c r="H14" s="261">
        <f t="shared" ref="H14:N14" si="5">SUM(H12:H13)</f>
        <v>386.60385682376671</v>
      </c>
      <c r="I14" s="261">
        <f t="shared" si="5"/>
        <v>411.07257618727328</v>
      </c>
      <c r="J14" s="261">
        <f t="shared" si="5"/>
        <v>439.87354006495775</v>
      </c>
      <c r="K14" s="261">
        <f t="shared" si="5"/>
        <v>470.7743389419922</v>
      </c>
      <c r="L14" s="261">
        <f t="shared" si="5"/>
        <v>494.31305588909174</v>
      </c>
      <c r="M14" s="261">
        <f t="shared" si="5"/>
        <v>509.1424475657646</v>
      </c>
      <c r="N14" s="262">
        <f t="shared" si="5"/>
        <v>524.41672099273762</v>
      </c>
    </row>
    <row r="15" spans="2:19">
      <c r="B15" s="249"/>
      <c r="C15" s="10"/>
      <c r="D15" s="10"/>
      <c r="E15" s="250"/>
      <c r="F15" s="250"/>
      <c r="G15" s="45"/>
      <c r="H15" s="45"/>
      <c r="I15" s="45"/>
      <c r="J15" s="45"/>
      <c r="K15" s="45"/>
      <c r="L15" s="45"/>
      <c r="M15" s="45"/>
      <c r="N15" s="61"/>
      <c r="Q15" t="s">
        <v>105</v>
      </c>
      <c r="S15">
        <v>15</v>
      </c>
    </row>
    <row r="16" spans="2:19">
      <c r="B16" s="119" t="s">
        <v>5</v>
      </c>
      <c r="C16" s="120"/>
      <c r="D16" s="33"/>
      <c r="E16" s="244"/>
      <c r="F16" s="244"/>
      <c r="G16" s="252">
        <f>stub</f>
        <v>0.75136612021857918</v>
      </c>
      <c r="H16" s="252">
        <f t="shared" ref="H16:M16" si="6">YEARFRAC(G8,H8,0)</f>
        <v>1</v>
      </c>
      <c r="I16" s="252">
        <f t="shared" si="6"/>
        <v>1</v>
      </c>
      <c r="J16" s="252">
        <f t="shared" si="6"/>
        <v>1</v>
      </c>
      <c r="K16" s="252">
        <f t="shared" si="6"/>
        <v>1</v>
      </c>
      <c r="L16" s="252">
        <f t="shared" si="6"/>
        <v>1</v>
      </c>
      <c r="M16" s="253">
        <f t="shared" si="6"/>
        <v>1</v>
      </c>
      <c r="N16" s="45"/>
    </row>
    <row r="17" spans="2:14">
      <c r="B17" s="119" t="s">
        <v>96</v>
      </c>
      <c r="C17" s="120"/>
      <c r="D17" s="33"/>
      <c r="E17" s="244"/>
      <c r="F17" s="244"/>
      <c r="G17" s="252">
        <f>G16</f>
        <v>0.75136612021857918</v>
      </c>
      <c r="H17" s="252">
        <f>H16+G17</f>
        <v>1.7513661202185791</v>
      </c>
      <c r="I17" s="252">
        <f t="shared" ref="I17:M17" si="7">I16+H17</f>
        <v>2.7513661202185791</v>
      </c>
      <c r="J17" s="252">
        <f t="shared" si="7"/>
        <v>3.7513661202185791</v>
      </c>
      <c r="K17" s="252">
        <f t="shared" si="7"/>
        <v>4.7513661202185791</v>
      </c>
      <c r="L17" s="252">
        <f t="shared" si="7"/>
        <v>5.7513661202185791</v>
      </c>
      <c r="M17" s="253">
        <f t="shared" si="7"/>
        <v>6.7513661202185791</v>
      </c>
      <c r="N17" s="45"/>
    </row>
    <row r="18" spans="2:14">
      <c r="B18" s="119" t="s">
        <v>6</v>
      </c>
      <c r="C18" s="120"/>
      <c r="D18" s="33"/>
      <c r="E18" s="244"/>
      <c r="F18" s="244"/>
      <c r="G18" s="252">
        <f>G16/2</f>
        <v>0.37568306010928959</v>
      </c>
      <c r="H18" s="252">
        <f>G17+(H16/2)</f>
        <v>1.2513661202185791</v>
      </c>
      <c r="I18" s="252">
        <f t="shared" ref="I18:M18" si="8">H17+(I16/2)</f>
        <v>2.2513661202185791</v>
      </c>
      <c r="J18" s="252">
        <f t="shared" si="8"/>
        <v>3.2513661202185791</v>
      </c>
      <c r="K18" s="252">
        <f t="shared" si="8"/>
        <v>4.2513661202185791</v>
      </c>
      <c r="L18" s="252">
        <f t="shared" si="8"/>
        <v>5.2513661202185791</v>
      </c>
      <c r="M18" s="253">
        <f t="shared" si="8"/>
        <v>6.2513661202185791</v>
      </c>
      <c r="N18" s="45"/>
    </row>
    <row r="19" spans="2:14">
      <c r="B19" s="119" t="s">
        <v>7</v>
      </c>
      <c r="C19" s="120"/>
      <c r="D19" s="33"/>
      <c r="E19" s="254"/>
      <c r="F19" s="131">
        <f>WARA!$E$16</f>
        <v>0.155</v>
      </c>
      <c r="G19" s="255">
        <f t="shared" ref="G19:M19" si="9">(1+$F$19)^-G18</f>
        <v>0.94730320937616608</v>
      </c>
      <c r="H19" s="255">
        <f t="shared" si="9"/>
        <v>0.83500105691918569</v>
      </c>
      <c r="I19" s="255">
        <f t="shared" si="9"/>
        <v>0.72294463802526898</v>
      </c>
      <c r="J19" s="255">
        <f t="shared" si="9"/>
        <v>0.62592609352837147</v>
      </c>
      <c r="K19" s="255">
        <f t="shared" si="9"/>
        <v>0.54192735370421763</v>
      </c>
      <c r="L19" s="255">
        <f t="shared" si="9"/>
        <v>0.46920117203828365</v>
      </c>
      <c r="M19" s="256">
        <f t="shared" si="9"/>
        <v>0.40623478098552701</v>
      </c>
      <c r="N19" s="45"/>
    </row>
    <row r="20" spans="2:14" ht="15.75" thickBot="1">
      <c r="B20" s="257" t="s">
        <v>8</v>
      </c>
      <c r="C20" s="258"/>
      <c r="D20" s="258"/>
      <c r="E20" s="259"/>
      <c r="F20" s="260"/>
      <c r="G20" s="261">
        <f>G19*G14</f>
        <v>261.27229842531284</v>
      </c>
      <c r="H20" s="261">
        <f t="shared" ref="H20:M20" si="10">H19*H14</f>
        <v>322.81462905687874</v>
      </c>
      <c r="I20" s="261">
        <f t="shared" si="10"/>
        <v>297.1827147938231</v>
      </c>
      <c r="J20" s="261">
        <f t="shared" si="10"/>
        <v>275.32832657935461</v>
      </c>
      <c r="K20" s="261">
        <f t="shared" si="10"/>
        <v>255.12549169468625</v>
      </c>
      <c r="L20" s="261">
        <f t="shared" si="10"/>
        <v>231.93226517698747</v>
      </c>
      <c r="M20" s="262">
        <f t="shared" si="10"/>
        <v>206.83137067731354</v>
      </c>
      <c r="N20" s="268" t="s">
        <v>9</v>
      </c>
    </row>
    <row r="21" spans="2:1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 ht="15.75" thickBot="1">
      <c r="B22" s="277" t="s">
        <v>100</v>
      </c>
      <c r="C22" s="278"/>
      <c r="D22" s="278"/>
      <c r="E22" s="278"/>
      <c r="F22" s="278"/>
      <c r="G22" s="279">
        <f>SUM(G20:M20)</f>
        <v>1850.4870964043564</v>
      </c>
      <c r="H22" s="3"/>
      <c r="I22" s="3"/>
      <c r="J22" s="3"/>
      <c r="K22" s="3"/>
      <c r="L22" s="3"/>
      <c r="M22" s="3"/>
      <c r="N22" s="3"/>
    </row>
    <row r="23" spans="2:14">
      <c r="B23" s="277" t="s">
        <v>101</v>
      </c>
      <c r="C23" s="278"/>
      <c r="D23" s="278"/>
      <c r="E23" s="278"/>
      <c r="F23" s="278"/>
      <c r="G23" s="280">
        <f>N26</f>
        <v>1704.290494381064</v>
      </c>
      <c r="H23" s="3"/>
      <c r="I23" s="3"/>
      <c r="J23" s="774" t="s">
        <v>97</v>
      </c>
      <c r="K23" s="775"/>
      <c r="L23" s="775"/>
      <c r="M23" s="775"/>
      <c r="N23" s="269"/>
    </row>
    <row r="24" spans="2:14">
      <c r="B24" s="281" t="s">
        <v>102</v>
      </c>
      <c r="C24" s="282"/>
      <c r="D24" s="282"/>
      <c r="E24" s="282"/>
      <c r="F24" s="282"/>
      <c r="G24" s="283">
        <f>SUM(G22:G23)</f>
        <v>3554.7775907854202</v>
      </c>
      <c r="H24" s="44"/>
      <c r="I24" s="44"/>
      <c r="J24" s="270" t="s">
        <v>4</v>
      </c>
      <c r="K24" s="271"/>
      <c r="L24" s="271"/>
      <c r="M24" s="271"/>
      <c r="N24" s="272">
        <f>N14</f>
        <v>524.41672099273762</v>
      </c>
    </row>
    <row r="25" spans="2:14">
      <c r="B25" s="277" t="s">
        <v>103</v>
      </c>
      <c r="C25" s="278"/>
      <c r="D25" s="278"/>
      <c r="E25" s="278"/>
      <c r="F25" s="278"/>
      <c r="G25" s="279">
        <f>G24*($S$15/($S$15-((PV($F$19,$S$15,-1)*(1+$F$19)^0.5)*$F$13))-1)</f>
        <v>425.56171402038467</v>
      </c>
      <c r="H25" s="3"/>
      <c r="I25" s="3"/>
      <c r="J25" s="270" t="s">
        <v>99</v>
      </c>
      <c r="K25" s="271"/>
      <c r="L25" s="271"/>
      <c r="M25" s="271"/>
      <c r="N25" s="273">
        <f>F19-LTGR</f>
        <v>0.125</v>
      </c>
    </row>
    <row r="26" spans="2:14" ht="15.75" thickBot="1">
      <c r="B26" s="281" t="s">
        <v>104</v>
      </c>
      <c r="C26" s="282"/>
      <c r="D26" s="282"/>
      <c r="E26" s="282"/>
      <c r="F26" s="282"/>
      <c r="G26" s="283">
        <f>ROUND(SUM(G24:G25),0)</f>
        <v>3980</v>
      </c>
      <c r="H26" s="44"/>
      <c r="I26" s="44"/>
      <c r="J26" s="274" t="s">
        <v>98</v>
      </c>
      <c r="K26" s="275"/>
      <c r="L26" s="275"/>
      <c r="M26" s="275"/>
      <c r="N26" s="276">
        <f>(N24/N25)*M19</f>
        <v>1704.290494381064</v>
      </c>
    </row>
    <row r="27" spans="2:14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2:14">
      <c r="B28" s="55" t="s">
        <v>216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2:14">
      <c r="B29" s="55" t="str">
        <f>D10&amp;" Refer to exhibit "&amp;'Tradename RR Support'!I1</f>
        <v>(a) Refer to exhibit Exhibit: J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2:14">
      <c r="B30" s="55" t="str">
        <f>D11&amp;" Information based on discussions with the Management."</f>
        <v>(b) Information based on discussions with the Management.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  <row r="31" spans="2:14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2:14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2:14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2:14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</row>
    <row r="35" spans="2:14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2:14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2:14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2:14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</row>
    <row r="39" spans="2:14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2:14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4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</row>
    <row r="42" spans="2:14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</row>
  </sheetData>
  <mergeCells count="3">
    <mergeCell ref="J23:M23"/>
    <mergeCell ref="B7:F7"/>
    <mergeCell ref="H7:M7"/>
  </mergeCells>
  <pageMargins left="0.5" right="0.5" top="0.5" bottom="0.5" header="0.5" footer="0.5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12.28515625" customWidth="1"/>
    <col min="3" max="4" width="15" customWidth="1"/>
    <col min="5" max="5" width="33.140625" customWidth="1"/>
    <col min="6" max="6" width="11" customWidth="1"/>
    <col min="7" max="7" width="10.7109375" customWidth="1"/>
    <col min="8" max="9" width="11.7109375" customWidth="1"/>
    <col min="10" max="10" width="2.7109375" customWidth="1"/>
  </cols>
  <sheetData>
    <row r="1" spans="2:14" ht="15.75">
      <c r="B1" s="18" t="str">
        <f>Acq_name</f>
        <v>[Acq.Co. Holdings Ltd.]</v>
      </c>
      <c r="I1" s="34" t="str">
        <f>"Exhibit: "&amp;INDEX(TOC!$B$5:$E$34,MATCH($B$3,TOC!$E$5:$E$36,0),COLUMNS(TOC!E5))&amp;K1</f>
        <v>Exhibit: J</v>
      </c>
    </row>
    <row r="2" spans="2:14">
      <c r="B2" s="19" t="str">
        <f>Targ_name</f>
        <v>[ABC Corporation]</v>
      </c>
    </row>
    <row r="3" spans="2:14">
      <c r="B3" s="20" t="str">
        <f>TOC!E22</f>
        <v>Tradename - Royalty Rate Support</v>
      </c>
    </row>
    <row r="4" spans="2:14">
      <c r="B4" s="25" t="str">
        <f>"Valuation as of "&amp;TEXT(Val_date,"DD MMMM YYYY")</f>
        <v>Valuation as of 31 March 2020</v>
      </c>
    </row>
    <row r="5" spans="2:14">
      <c r="B5" s="27" t="str">
        <f>'Key Inputs and Assumptions'!C24</f>
        <v>(in USD ‘000s unless specified otherwise)</v>
      </c>
    </row>
    <row r="6" spans="2:14" ht="15.75" thickBot="1"/>
    <row r="7" spans="2:14">
      <c r="B7" s="284" t="s">
        <v>262</v>
      </c>
      <c r="C7" s="285"/>
      <c r="D7" s="285"/>
      <c r="E7" s="285"/>
      <c r="F7" s="285"/>
      <c r="G7" s="285"/>
      <c r="H7" s="285" t="s">
        <v>259</v>
      </c>
      <c r="I7" s="286"/>
    </row>
    <row r="8" spans="2:14">
      <c r="B8" s="287" t="s">
        <v>254</v>
      </c>
      <c r="C8" s="288" t="s">
        <v>255</v>
      </c>
      <c r="D8" s="288" t="s">
        <v>255</v>
      </c>
      <c r="E8" s="288" t="s">
        <v>256</v>
      </c>
      <c r="F8" s="289" t="s">
        <v>257</v>
      </c>
      <c r="G8" s="289" t="s">
        <v>258</v>
      </c>
      <c r="H8" s="290" t="s">
        <v>260</v>
      </c>
      <c r="I8" s="291" t="s">
        <v>261</v>
      </c>
    </row>
    <row r="9" spans="2:14">
      <c r="B9" s="124"/>
      <c r="C9" s="36"/>
      <c r="D9" s="36"/>
      <c r="E9" s="36"/>
      <c r="F9" s="292"/>
      <c r="G9" s="292"/>
      <c r="H9" s="36"/>
      <c r="I9" s="179"/>
    </row>
    <row r="10" spans="2:14">
      <c r="B10" s="293">
        <v>43878</v>
      </c>
      <c r="C10" s="294" t="s">
        <v>263</v>
      </c>
      <c r="D10" s="294" t="s">
        <v>550</v>
      </c>
      <c r="E10" s="295" t="s">
        <v>373</v>
      </c>
      <c r="F10" s="296">
        <v>5</v>
      </c>
      <c r="G10" s="296" t="s">
        <v>283</v>
      </c>
      <c r="H10" s="297">
        <v>2.2999999999999996E-2</v>
      </c>
      <c r="I10" s="298">
        <v>2.7999999999999997E-2</v>
      </c>
      <c r="N10" s="502">
        <v>5.0000000000000001E-3</v>
      </c>
    </row>
    <row r="11" spans="2:14">
      <c r="B11" s="293">
        <v>43339</v>
      </c>
      <c r="C11" s="294" t="s">
        <v>264</v>
      </c>
      <c r="D11" s="294" t="s">
        <v>551</v>
      </c>
      <c r="E11" s="295" t="s">
        <v>373</v>
      </c>
      <c r="F11" s="296">
        <v>5</v>
      </c>
      <c r="G11" s="296" t="s">
        <v>283</v>
      </c>
      <c r="H11" s="297">
        <v>3.9999999999999987E-2</v>
      </c>
      <c r="I11" s="298">
        <v>3.9999999999999987E-2</v>
      </c>
    </row>
    <row r="12" spans="2:14">
      <c r="B12" s="293">
        <v>43228</v>
      </c>
      <c r="C12" s="294" t="s">
        <v>265</v>
      </c>
      <c r="D12" s="294" t="s">
        <v>552</v>
      </c>
      <c r="E12" s="295" t="s">
        <v>373</v>
      </c>
      <c r="F12" s="296">
        <v>5</v>
      </c>
      <c r="G12" s="296" t="s">
        <v>283</v>
      </c>
      <c r="H12" s="297">
        <v>3.9999999999999959E-2</v>
      </c>
      <c r="I12" s="298">
        <v>3.9999999999999959E-2</v>
      </c>
    </row>
    <row r="13" spans="2:14">
      <c r="B13" s="293">
        <v>43051</v>
      </c>
      <c r="C13" s="294" t="s">
        <v>266</v>
      </c>
      <c r="D13" s="294" t="s">
        <v>553</v>
      </c>
      <c r="E13" s="295" t="s">
        <v>373</v>
      </c>
      <c r="F13" s="296">
        <v>5</v>
      </c>
      <c r="G13" s="296" t="s">
        <v>283</v>
      </c>
      <c r="H13" s="297">
        <v>1.9999999999999997E-2</v>
      </c>
      <c r="I13" s="298">
        <v>2.4999999999999998E-2</v>
      </c>
    </row>
    <row r="14" spans="2:14">
      <c r="B14" s="293">
        <v>43039</v>
      </c>
      <c r="C14" s="294" t="s">
        <v>267</v>
      </c>
      <c r="D14" s="294" t="s">
        <v>274</v>
      </c>
      <c r="E14" s="295" t="s">
        <v>373</v>
      </c>
      <c r="F14" s="296">
        <v>5</v>
      </c>
      <c r="G14" s="296" t="s">
        <v>283</v>
      </c>
      <c r="H14" s="297">
        <v>5.7000000000000002E-2</v>
      </c>
      <c r="I14" s="298">
        <v>5.7000000000000002E-2</v>
      </c>
    </row>
    <row r="15" spans="2:14">
      <c r="B15" s="293">
        <v>42776</v>
      </c>
      <c r="C15" s="294" t="s">
        <v>268</v>
      </c>
      <c r="D15" s="294" t="s">
        <v>275</v>
      </c>
      <c r="E15" s="295" t="s">
        <v>373</v>
      </c>
      <c r="F15" s="296">
        <v>5</v>
      </c>
      <c r="G15" s="296" t="s">
        <v>283</v>
      </c>
      <c r="H15" s="297">
        <v>6.0000000000000019E-2</v>
      </c>
      <c r="I15" s="298">
        <v>7.0000000000000021E-2</v>
      </c>
    </row>
    <row r="16" spans="2:14">
      <c r="B16" s="293">
        <v>42993</v>
      </c>
      <c r="C16" s="294" t="s">
        <v>269</v>
      </c>
      <c r="D16" s="294" t="s">
        <v>276</v>
      </c>
      <c r="E16" s="295" t="s">
        <v>373</v>
      </c>
      <c r="F16" s="296">
        <v>5</v>
      </c>
      <c r="G16" s="296" t="s">
        <v>283</v>
      </c>
      <c r="H16" s="297">
        <v>3.4999999999999996E-2</v>
      </c>
      <c r="I16" s="298">
        <v>3.4999999999999996E-2</v>
      </c>
    </row>
    <row r="17" spans="2:9">
      <c r="B17" s="293">
        <v>42771</v>
      </c>
      <c r="C17" s="294" t="s">
        <v>270</v>
      </c>
      <c r="D17" s="294" t="s">
        <v>277</v>
      </c>
      <c r="E17" s="295" t="s">
        <v>373</v>
      </c>
      <c r="F17" s="296">
        <v>5</v>
      </c>
      <c r="G17" s="296" t="s">
        <v>283</v>
      </c>
      <c r="H17" s="299">
        <v>7.0000000000000021E-2</v>
      </c>
      <c r="I17" s="298">
        <v>7.0000000000000021E-2</v>
      </c>
    </row>
    <row r="18" spans="2:9">
      <c r="B18" s="293">
        <v>42837</v>
      </c>
      <c r="C18" s="294" t="s">
        <v>271</v>
      </c>
      <c r="D18" s="294" t="s">
        <v>278</v>
      </c>
      <c r="E18" s="295" t="s">
        <v>373</v>
      </c>
      <c r="F18" s="296">
        <v>5</v>
      </c>
      <c r="G18" s="296" t="s">
        <v>283</v>
      </c>
      <c r="H18" s="297">
        <v>7.7703780121533061E-2</v>
      </c>
      <c r="I18" s="298">
        <v>8.7703780121533056E-2</v>
      </c>
    </row>
    <row r="19" spans="2:9">
      <c r="B19" s="293">
        <v>42487</v>
      </c>
      <c r="C19" s="294" t="s">
        <v>272</v>
      </c>
      <c r="D19" s="294" t="s">
        <v>279</v>
      </c>
      <c r="E19" s="295" t="s">
        <v>373</v>
      </c>
      <c r="F19" s="296">
        <v>5</v>
      </c>
      <c r="G19" s="296" t="s">
        <v>283</v>
      </c>
      <c r="H19" s="299">
        <v>5.1426514384727548E-2</v>
      </c>
      <c r="I19" s="298">
        <v>6.142651438472755E-2</v>
      </c>
    </row>
    <row r="20" spans="2:9">
      <c r="B20" s="293">
        <v>42447</v>
      </c>
      <c r="C20" s="294" t="s">
        <v>273</v>
      </c>
      <c r="D20" s="294" t="s">
        <v>280</v>
      </c>
      <c r="E20" s="295" t="s">
        <v>373</v>
      </c>
      <c r="F20" s="296">
        <v>5</v>
      </c>
      <c r="G20" s="296" t="s">
        <v>283</v>
      </c>
      <c r="H20" s="297">
        <v>6.6441053201480846E-2</v>
      </c>
      <c r="I20" s="298">
        <v>7.144105320148085E-2</v>
      </c>
    </row>
    <row r="21" spans="2:9" ht="15.75" thickBot="1">
      <c r="B21" s="300">
        <v>42356</v>
      </c>
      <c r="C21" s="301" t="s">
        <v>281</v>
      </c>
      <c r="D21" s="301" t="s">
        <v>282</v>
      </c>
      <c r="E21" s="302" t="s">
        <v>373</v>
      </c>
      <c r="F21" s="303">
        <v>5</v>
      </c>
      <c r="G21" s="303" t="s">
        <v>283</v>
      </c>
      <c r="H21" s="304">
        <v>2.5000000000000001E-2</v>
      </c>
      <c r="I21" s="305">
        <v>2.5000000000000001E-2</v>
      </c>
    </row>
    <row r="22" spans="2:9" ht="15.75" thickBot="1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306" t="s">
        <v>261</v>
      </c>
      <c r="H23" s="307">
        <f>MAX(H10:H21)</f>
        <v>7.7703780121533061E-2</v>
      </c>
      <c r="I23" s="308">
        <f>MAX(I10:I21)</f>
        <v>8.7703780121533056E-2</v>
      </c>
    </row>
    <row r="24" spans="2:9">
      <c r="B24" s="3"/>
      <c r="C24" s="3"/>
      <c r="D24" s="3"/>
      <c r="E24" s="3"/>
      <c r="F24" s="3"/>
      <c r="G24" s="482" t="s">
        <v>393</v>
      </c>
      <c r="H24" s="481">
        <f>QUARTILE(H10:H21,3)</f>
        <v>6.1610263300370227E-2</v>
      </c>
      <c r="I24" s="480">
        <f>QUARTILE(I10:I21,3)</f>
        <v>7.0000000000000021E-2</v>
      </c>
    </row>
    <row r="25" spans="2:9">
      <c r="B25" s="3"/>
      <c r="C25" s="3"/>
      <c r="D25" s="3"/>
      <c r="E25" s="3"/>
      <c r="F25" s="3"/>
      <c r="G25" s="123" t="s">
        <v>252</v>
      </c>
      <c r="H25" s="309">
        <f>MEDIAN(H10:H21)</f>
        <v>4.5713257192363771E-2</v>
      </c>
      <c r="I25" s="310">
        <f>MEDIAN(I10:I21)</f>
        <v>4.8499999999999995E-2</v>
      </c>
    </row>
    <row r="26" spans="2:9">
      <c r="B26" s="3"/>
      <c r="C26" s="3"/>
      <c r="D26" s="3"/>
      <c r="E26" s="3"/>
      <c r="F26" s="3"/>
      <c r="G26" s="123" t="s">
        <v>164</v>
      </c>
      <c r="H26" s="309">
        <f>AVERAGE(H10:H21)</f>
        <v>4.7130945642311788E-2</v>
      </c>
      <c r="I26" s="310">
        <f>AVERAGE(I10:I21)</f>
        <v>5.0880945642311791E-2</v>
      </c>
    </row>
    <row r="27" spans="2:9">
      <c r="B27" s="3"/>
      <c r="C27" s="3"/>
      <c r="D27" s="3"/>
      <c r="E27" s="3"/>
      <c r="F27" s="3"/>
      <c r="G27" s="479" t="s">
        <v>394</v>
      </c>
      <c r="H27" s="478">
        <f>QUARTILE(H10:H21,1)</f>
        <v>3.2500000000000001E-2</v>
      </c>
      <c r="I27" s="477">
        <f>QUARTILE(I10:I21,1)</f>
        <v>3.3249999999999995E-2</v>
      </c>
    </row>
    <row r="28" spans="2:9" ht="15.75" thickBot="1">
      <c r="B28" s="3"/>
      <c r="C28" s="3"/>
      <c r="D28" s="3"/>
      <c r="E28" s="3"/>
      <c r="F28" s="3"/>
      <c r="G28" s="204" t="s">
        <v>260</v>
      </c>
      <c r="H28" s="311">
        <f>+MIN(H10:H21)</f>
        <v>1.9999999999999997E-2</v>
      </c>
      <c r="I28" s="312">
        <f>+MIN(I10:I21)</f>
        <v>2.4999999999999998E-2</v>
      </c>
    </row>
  </sheetData>
  <pageMargins left="0.5" right="0.5" top="0.5" bottom="0.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H69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12.140625" customWidth="1"/>
    <col min="3" max="3" width="6.85546875" customWidth="1"/>
    <col min="4" max="4" width="7.7109375" customWidth="1"/>
    <col min="5" max="8" width="8.7109375" customWidth="1"/>
    <col min="9" max="9" width="1.7109375" customWidth="1"/>
    <col min="10" max="10" width="12.140625" customWidth="1"/>
    <col min="12" max="15" width="8.7109375" customWidth="1"/>
    <col min="16" max="16" width="2.7109375" customWidth="1"/>
    <col min="18" max="18" width="3.5703125" customWidth="1"/>
    <col min="19" max="19" width="12.140625" customWidth="1"/>
    <col min="20" max="20" width="6.85546875" customWidth="1"/>
    <col min="21" max="21" width="7.7109375" customWidth="1"/>
    <col min="22" max="25" width="8.7109375" customWidth="1"/>
    <col min="26" max="26" width="1.7109375" customWidth="1"/>
    <col min="27" max="27" width="12.140625" customWidth="1"/>
    <col min="29" max="32" width="8.7109375" customWidth="1"/>
    <col min="33" max="33" width="2.7109375" customWidth="1"/>
  </cols>
  <sheetData>
    <row r="1" spans="2:34" ht="15.75">
      <c r="B1" s="18" t="str">
        <f>Acq_name</f>
        <v>[Acq.Co. Holdings Ltd.]</v>
      </c>
      <c r="O1" s="34" t="str">
        <f>"Exhibit: "&amp;INDEX(TOC!$B$5:$E$34,MATCH($B$3,TOC!$E$5:$E$36,0),COLUMNS(TOC!J5))&amp;Q1</f>
        <v>Exhibit: K.1</v>
      </c>
      <c r="Q1" s="377" t="s">
        <v>304</v>
      </c>
      <c r="S1" s="18" t="str">
        <f>B1</f>
        <v>[Acq.Co. Holdings Ltd.]</v>
      </c>
      <c r="AF1" s="34" t="str">
        <f>"Exhibit: "&amp;INDEX(TOC!$B$5:$E$34,MATCH($B$3,TOC!$E$5:$E$36,0),COLUMNS(TOC!AA5))&amp;AH1</f>
        <v>Exhibit: K.2</v>
      </c>
      <c r="AH1" s="377" t="s">
        <v>305</v>
      </c>
    </row>
    <row r="2" spans="2:34">
      <c r="B2" s="19" t="str">
        <f>Targ_name</f>
        <v>[ABC Corporation]</v>
      </c>
      <c r="S2" s="19" t="str">
        <f t="shared" ref="S2:S5" si="0">B2</f>
        <v>[ABC Corporation]</v>
      </c>
    </row>
    <row r="3" spans="2:34">
      <c r="B3" s="20" t="str">
        <f>TOC!E23</f>
        <v>Non-Compete Agreement - A</v>
      </c>
      <c r="S3" s="20" t="str">
        <f t="shared" si="0"/>
        <v>Non-Compete Agreement - A</v>
      </c>
    </row>
    <row r="4" spans="2:34">
      <c r="B4" s="25" t="str">
        <f>"Valuation as of "&amp;TEXT(Val_date,"DD MMMM YYYY")</f>
        <v>Valuation as of 31 March 2020</v>
      </c>
      <c r="S4" s="25" t="str">
        <f t="shared" si="0"/>
        <v>Valuation as of 31 March 2020</v>
      </c>
    </row>
    <row r="5" spans="2:34">
      <c r="B5" s="27" t="str">
        <f>'Key Inputs and Assumptions'!C24</f>
        <v>(in USD ‘000s unless specified otherwise)</v>
      </c>
      <c r="S5" s="27" t="str">
        <f t="shared" si="0"/>
        <v>(in USD ‘000s unless specified otherwise)</v>
      </c>
    </row>
    <row r="6" spans="2:34" ht="15.75" thickBot="1"/>
    <row r="7" spans="2:34">
      <c r="B7" s="318" t="s">
        <v>122</v>
      </c>
      <c r="C7" s="319"/>
      <c r="D7" s="319"/>
      <c r="E7" s="319"/>
      <c r="F7" s="320"/>
    </row>
    <row r="8" spans="2:34">
      <c r="B8" s="245" t="s">
        <v>126</v>
      </c>
      <c r="C8" s="317"/>
      <c r="D8" s="317"/>
      <c r="E8" s="317"/>
      <c r="F8" s="497">
        <f>'Key Inputs and Assumptions'!$C$36</f>
        <v>0.15</v>
      </c>
    </row>
    <row r="9" spans="2:34">
      <c r="B9" s="416" t="s">
        <v>333</v>
      </c>
      <c r="C9" s="417"/>
      <c r="D9" s="417"/>
      <c r="E9" s="317"/>
      <c r="F9" s="496">
        <f>'Key Inputs and Assumptions'!$C$32</f>
        <v>3</v>
      </c>
    </row>
    <row r="10" spans="2:34" ht="15.75" thickBot="1">
      <c r="B10" s="140" t="s">
        <v>123</v>
      </c>
      <c r="C10" s="325"/>
      <c r="D10" s="325"/>
      <c r="E10" s="325" t="s">
        <v>172</v>
      </c>
      <c r="F10" s="519">
        <v>-0.09</v>
      </c>
    </row>
    <row r="11" spans="2:34" ht="15.75" thickBot="1"/>
    <row r="12" spans="2:34" s="26" customFormat="1" ht="15" customHeight="1">
      <c r="B12" s="756"/>
      <c r="C12" s="757"/>
      <c r="D12" s="757"/>
      <c r="E12" s="433" t="s">
        <v>413</v>
      </c>
      <c r="F12" s="776"/>
      <c r="G12" s="776"/>
      <c r="H12" s="430" t="s">
        <v>414</v>
      </c>
      <c r="J12" s="756"/>
      <c r="K12" s="757"/>
      <c r="L12" s="433" t="s">
        <v>413</v>
      </c>
      <c r="M12" s="776"/>
      <c r="N12" s="776"/>
      <c r="O12" s="430" t="s">
        <v>414</v>
      </c>
      <c r="S12" s="563" t="s">
        <v>215</v>
      </c>
      <c r="T12" s="314"/>
      <c r="U12" s="314"/>
      <c r="V12" s="314"/>
      <c r="W12" s="314"/>
      <c r="X12" s="314"/>
      <c r="Y12" s="315"/>
      <c r="Z12"/>
    </row>
    <row r="13" spans="2:34" s="26" customFormat="1" ht="15" customHeight="1">
      <c r="B13" s="754"/>
      <c r="C13" s="755"/>
      <c r="D13" s="755"/>
      <c r="E13" s="752">
        <v>44196</v>
      </c>
      <c r="F13" s="434"/>
      <c r="G13" s="434"/>
      <c r="H13" s="753">
        <v>43921</v>
      </c>
      <c r="J13" s="754"/>
      <c r="K13" s="755"/>
      <c r="L13" s="752">
        <v>44196</v>
      </c>
      <c r="M13" s="434"/>
      <c r="N13" s="434"/>
      <c r="O13" s="753">
        <v>43921</v>
      </c>
      <c r="S13" s="124" t="s">
        <v>212</v>
      </c>
      <c r="T13" s="36"/>
      <c r="U13" s="36"/>
      <c r="V13" s="187"/>
      <c r="W13" s="187"/>
      <c r="X13" s="187"/>
      <c r="Y13" s="122">
        <f>SUM(E30:H30)</f>
        <v>24891.074775970501</v>
      </c>
      <c r="Z13"/>
    </row>
    <row r="14" spans="2:34" ht="15" customHeight="1">
      <c r="B14" s="322" t="s">
        <v>115</v>
      </c>
      <c r="C14" s="236"/>
      <c r="D14" s="237"/>
      <c r="E14" s="238">
        <f>'Key Inputs and Assumptions'!$C$16</f>
        <v>44196</v>
      </c>
      <c r="F14" s="238">
        <f>E14+365</f>
        <v>44561</v>
      </c>
      <c r="G14" s="238">
        <f t="shared" ref="G14" si="1">F14+365</f>
        <v>44926</v>
      </c>
      <c r="H14" s="323">
        <f>EOMONTH(Val_date,$F$9*12)</f>
        <v>45016</v>
      </c>
      <c r="J14" s="322" t="s">
        <v>387</v>
      </c>
      <c r="K14" s="238"/>
      <c r="L14" s="238">
        <f>'Key Inputs and Assumptions'!$C$16</f>
        <v>44196</v>
      </c>
      <c r="M14" s="238">
        <f>L14+365</f>
        <v>44561</v>
      </c>
      <c r="N14" s="238">
        <f t="shared" ref="N14" si="2">M14+365</f>
        <v>44926</v>
      </c>
      <c r="O14" s="323">
        <f>EOMONTH(Val_date,$F$9*12)</f>
        <v>45016</v>
      </c>
      <c r="R14" s="25"/>
      <c r="S14" s="124" t="s">
        <v>213</v>
      </c>
      <c r="T14" s="36"/>
      <c r="U14" s="36"/>
      <c r="V14" s="187"/>
      <c r="W14" s="187"/>
      <c r="X14" s="187"/>
      <c r="Y14" s="122">
        <f>SUM(L30:O30)</f>
        <v>22650.878046133159</v>
      </c>
    </row>
    <row r="15" spans="2:34">
      <c r="B15" s="324"/>
      <c r="C15" s="33"/>
      <c r="D15" s="33"/>
      <c r="E15" s="121"/>
      <c r="F15" s="121"/>
      <c r="G15" s="121"/>
      <c r="H15" s="122"/>
      <c r="J15" s="324"/>
      <c r="K15" s="33"/>
      <c r="L15" s="121"/>
      <c r="M15" s="121"/>
      <c r="N15" s="121"/>
      <c r="O15" s="122"/>
      <c r="S15" s="243" t="s">
        <v>214</v>
      </c>
      <c r="T15" s="246"/>
      <c r="U15" s="246"/>
      <c r="V15" s="246"/>
      <c r="W15" s="246"/>
      <c r="X15" s="316"/>
      <c r="Y15" s="242">
        <f>Y13-Y14</f>
        <v>2240.196729837342</v>
      </c>
    </row>
    <row r="16" spans="2:34" ht="15.75" customHeight="1">
      <c r="B16" s="119" t="s">
        <v>62</v>
      </c>
      <c r="C16" s="33"/>
      <c r="D16" s="33"/>
      <c r="E16" s="121">
        <f>IRR!G9</f>
        <v>24894.522170329663</v>
      </c>
      <c r="F16" s="121">
        <f>IRR!H9*(YEARFRAC(E14,F14,0))</f>
        <v>34895.194225450541</v>
      </c>
      <c r="G16" s="121">
        <f>IRR!I9*(YEARFRAC(F14,G14,0))</f>
        <v>37103.761728249228</v>
      </c>
      <c r="H16" s="122">
        <f>IRR!J9*(YEARFRAC(G14,H14,0))</f>
        <v>9925.8403300152913</v>
      </c>
      <c r="J16" s="119" t="s">
        <v>62</v>
      </c>
      <c r="K16" s="33"/>
      <c r="L16" s="121">
        <f>E16*(1+$F$10)</f>
        <v>22654.015174999993</v>
      </c>
      <c r="M16" s="121">
        <f>F16*(1+$F$10)</f>
        <v>31754.626745159992</v>
      </c>
      <c r="N16" s="121">
        <f>G16*(1+$F$10)</f>
        <v>33764.423172706796</v>
      </c>
      <c r="O16" s="122">
        <f>H16*(1+$F$10)</f>
        <v>9032.5147003139155</v>
      </c>
      <c r="S16" s="245" t="s">
        <v>126</v>
      </c>
      <c r="T16" s="244"/>
      <c r="U16" s="317"/>
      <c r="V16" s="317"/>
      <c r="W16" s="317"/>
      <c r="X16" s="186"/>
      <c r="Y16" s="498">
        <f>F8</f>
        <v>0.15</v>
      </c>
    </row>
    <row r="17" spans="1:26" ht="15.75" customHeight="1">
      <c r="B17" s="215" t="s">
        <v>65</v>
      </c>
      <c r="C17" s="186"/>
      <c r="D17" s="186"/>
      <c r="E17" s="241">
        <f>E16*V$26</f>
        <v>10704.644533241753</v>
      </c>
      <c r="F17" s="241">
        <f>F16*W$26</f>
        <v>15004.933516943733</v>
      </c>
      <c r="G17" s="241">
        <f>G16*X$26</f>
        <v>15954.617543147167</v>
      </c>
      <c r="H17" s="242">
        <f>H16*Y$26</f>
        <v>4268.111341906575</v>
      </c>
      <c r="J17" s="215" t="s">
        <v>65</v>
      </c>
      <c r="K17" s="186"/>
      <c r="L17" s="241">
        <f>L16*V$26</f>
        <v>9741.2265252499965</v>
      </c>
      <c r="M17" s="241">
        <f>M16*W26</f>
        <v>13654.489500418797</v>
      </c>
      <c r="N17" s="241">
        <f>N16*X26</f>
        <v>14518.701964263922</v>
      </c>
      <c r="O17" s="242">
        <f>O16*Y26</f>
        <v>3883.9813211349838</v>
      </c>
      <c r="S17" s="243" t="s">
        <v>102</v>
      </c>
      <c r="T17" s="246"/>
      <c r="U17" s="246"/>
      <c r="V17" s="246"/>
      <c r="W17" s="246"/>
      <c r="X17" s="186"/>
      <c r="Y17" s="242">
        <f>Y16*Y15</f>
        <v>336.02950947560129</v>
      </c>
    </row>
    <row r="18" spans="1:26" ht="15.75" customHeight="1">
      <c r="B18" s="245" t="s">
        <v>127</v>
      </c>
      <c r="C18" s="246"/>
      <c r="D18" s="246"/>
      <c r="E18" s="521">
        <f>-E16*V$28</f>
        <v>-746.83566510988987</v>
      </c>
      <c r="F18" s="521">
        <f>-F16*W$28</f>
        <v>-1046.8558267635162</v>
      </c>
      <c r="G18" s="521">
        <f>-G16*X$28</f>
        <v>-1113.1128518474768</v>
      </c>
      <c r="H18" s="522">
        <f>-H16*Y$28</f>
        <v>-297.77520990045872</v>
      </c>
      <c r="I18" s="537"/>
      <c r="J18" s="538" t="s">
        <v>127</v>
      </c>
      <c r="K18" s="539"/>
      <c r="L18" s="521">
        <f>-L16*V$28</f>
        <v>-679.62045524999974</v>
      </c>
      <c r="M18" s="521">
        <f>-M16*W28</f>
        <v>-952.63880235479974</v>
      </c>
      <c r="N18" s="521">
        <f>-N16*X28</f>
        <v>-1012.9326951812038</v>
      </c>
      <c r="O18" s="522">
        <f>-O16*Y28</f>
        <v>-270.97544100941747</v>
      </c>
      <c r="S18" s="245" t="s">
        <v>103</v>
      </c>
      <c r="T18" s="244"/>
      <c r="U18" s="244"/>
      <c r="V18" s="244"/>
      <c r="W18" s="244"/>
      <c r="X18" s="186"/>
      <c r="Y18" s="122">
        <f>Y17*($T$37/($T$37-((PV($D$29,$T$37,-1)*(1+$D$29)^0.5)*$D$20))-1)</f>
        <v>40.227915913656403</v>
      </c>
    </row>
    <row r="19" spans="1:26" ht="15.75" customHeight="1" thickBot="1">
      <c r="B19" s="215" t="s">
        <v>68</v>
      </c>
      <c r="C19" s="246"/>
      <c r="D19" s="246"/>
      <c r="E19" s="241">
        <f>SUM(E17:E18)</f>
        <v>9957.8088681318641</v>
      </c>
      <c r="F19" s="241">
        <f t="shared" ref="F19:H19" si="3">SUM(F17:F18)</f>
        <v>13958.077690180216</v>
      </c>
      <c r="G19" s="241">
        <f t="shared" si="3"/>
        <v>14841.504691299691</v>
      </c>
      <c r="H19" s="242">
        <f t="shared" si="3"/>
        <v>3970.3361320061163</v>
      </c>
      <c r="J19" s="215" t="s">
        <v>68</v>
      </c>
      <c r="K19" s="246"/>
      <c r="L19" s="241">
        <f>SUM(L17:L18)</f>
        <v>9061.6060699999962</v>
      </c>
      <c r="M19" s="241">
        <f>SUM(M17:M18)</f>
        <v>12701.850698063998</v>
      </c>
      <c r="N19" s="241">
        <f>SUM(N17:N18)</f>
        <v>13505.769269082719</v>
      </c>
      <c r="O19" s="242">
        <f>SUM(O17:O18)</f>
        <v>3613.0058801255664</v>
      </c>
      <c r="S19" s="257" t="s">
        <v>157</v>
      </c>
      <c r="T19" s="259"/>
      <c r="U19" s="260"/>
      <c r="V19" s="261"/>
      <c r="W19" s="261"/>
      <c r="X19" s="261"/>
      <c r="Y19" s="262">
        <f>ROUND(SUM(Y17:Y18),0)</f>
        <v>376</v>
      </c>
      <c r="Z19" s="42"/>
    </row>
    <row r="20" spans="1:26" ht="15.75" customHeight="1">
      <c r="B20" s="245" t="s">
        <v>167</v>
      </c>
      <c r="C20" s="246"/>
      <c r="D20" s="131">
        <f>IRR!F18</f>
        <v>0.26140000000000002</v>
      </c>
      <c r="E20" s="540">
        <f>$D$20*-E19</f>
        <v>-2602.9712381296695</v>
      </c>
      <c r="F20" s="540">
        <f>$D$20*-F19</f>
        <v>-3648.6415082131089</v>
      </c>
      <c r="G20" s="540">
        <f>$D$20*-G19</f>
        <v>-3879.5693263057397</v>
      </c>
      <c r="H20" s="541">
        <f>$D$20*-H19</f>
        <v>-1037.8458649063989</v>
      </c>
      <c r="I20" s="542"/>
      <c r="J20" s="543" t="s">
        <v>167</v>
      </c>
      <c r="K20" s="544"/>
      <c r="L20" s="540">
        <f>$D$20*-L19</f>
        <v>-2368.7038266979994</v>
      </c>
      <c r="M20" s="540">
        <f>$D$20*-M19</f>
        <v>-3320.2637724739293</v>
      </c>
      <c r="N20" s="540">
        <f>$D$20*-N19</f>
        <v>-3530.4080869382228</v>
      </c>
      <c r="O20" s="541">
        <f>$D$20*-O19</f>
        <v>-944.43973706482313</v>
      </c>
      <c r="Z20" s="42"/>
    </row>
    <row r="21" spans="1:26" ht="15.75" customHeight="1">
      <c r="B21" s="215" t="s">
        <v>70</v>
      </c>
      <c r="C21" s="246"/>
      <c r="D21" s="246"/>
      <c r="E21" s="241">
        <f>SUM(E19:E20)</f>
        <v>7354.8376300021946</v>
      </c>
      <c r="F21" s="241">
        <f t="shared" ref="F21:H21" si="4">SUM(F19:F20)</f>
        <v>10309.436181967107</v>
      </c>
      <c r="G21" s="241">
        <f t="shared" si="4"/>
        <v>10961.935364993951</v>
      </c>
      <c r="H21" s="242">
        <f t="shared" si="4"/>
        <v>2932.4902670997171</v>
      </c>
      <c r="J21" s="215" t="s">
        <v>70</v>
      </c>
      <c r="K21" s="246"/>
      <c r="L21" s="241">
        <f>SUM(L19:L20)</f>
        <v>6692.9022433019964</v>
      </c>
      <c r="M21" s="241">
        <f>SUM(M19:M20)</f>
        <v>9381.5869255900689</v>
      </c>
      <c r="N21" s="241">
        <f>SUM(N19:N20)</f>
        <v>9975.3611821444956</v>
      </c>
      <c r="O21" s="242">
        <f>SUM(O19:O20)</f>
        <v>2668.5661430607433</v>
      </c>
    </row>
    <row r="22" spans="1:26" ht="15.75" customHeight="1">
      <c r="B22" s="245" t="s">
        <v>110</v>
      </c>
      <c r="C22" s="246"/>
      <c r="D22" s="246"/>
      <c r="E22" s="121">
        <f>-E18</f>
        <v>746.83566510988987</v>
      </c>
      <c r="F22" s="121">
        <f>-F18</f>
        <v>1046.8558267635162</v>
      </c>
      <c r="G22" s="121">
        <f>-G18</f>
        <v>1113.1128518474768</v>
      </c>
      <c r="H22" s="122">
        <f>-H18</f>
        <v>297.77520990045872</v>
      </c>
      <c r="J22" s="245" t="s">
        <v>110</v>
      </c>
      <c r="K22" s="246"/>
      <c r="L22" s="121">
        <f>-L18</f>
        <v>679.62045524999974</v>
      </c>
      <c r="M22" s="121">
        <f>-M18</f>
        <v>952.63880235479974</v>
      </c>
      <c r="N22" s="121">
        <f>-N18</f>
        <v>1012.9326951812038</v>
      </c>
      <c r="O22" s="122">
        <f>-O18</f>
        <v>270.97544100941747</v>
      </c>
    </row>
    <row r="23" spans="1:26" ht="15.75" customHeight="1">
      <c r="B23" s="245" t="s">
        <v>209</v>
      </c>
      <c r="C23" s="246"/>
      <c r="D23" s="246"/>
      <c r="E23" s="540">
        <f>IRR!G22/IRR!G9*E16</f>
        <v>-1239.9345870329662</v>
      </c>
      <c r="F23" s="540">
        <f>(F16-(E16/stub))*-W29</f>
        <v>-176.28483551208774</v>
      </c>
      <c r="G23" s="540">
        <f>(G16-F16)*-X29</f>
        <v>-220.85675027986872</v>
      </c>
      <c r="H23" s="541">
        <f>(H16-G16)*-Y29</f>
        <v>2717.7921398233939</v>
      </c>
      <c r="I23" s="542"/>
      <c r="J23" s="543" t="s">
        <v>209</v>
      </c>
      <c r="K23" s="544"/>
      <c r="L23" s="540">
        <f>IRR!G22/IRR!G9*L16</f>
        <v>-1128.3404741999993</v>
      </c>
      <c r="M23" s="540">
        <f>(M16-(L16/stub))*-W29</f>
        <v>-160.41920031599986</v>
      </c>
      <c r="N23" s="540">
        <f>(N16-M16)*-X29</f>
        <v>-200.97964275468041</v>
      </c>
      <c r="O23" s="541">
        <f>(O16-N16)*-Y29</f>
        <v>2473.1908472392884</v>
      </c>
    </row>
    <row r="24" spans="1:26" ht="15.75" customHeight="1" thickBot="1">
      <c r="B24" s="245" t="s">
        <v>93</v>
      </c>
      <c r="C24" s="246"/>
      <c r="D24" s="246"/>
      <c r="E24" s="540">
        <f>E16*-V$30</f>
        <v>-995.7808868131865</v>
      </c>
      <c r="F24" s="540">
        <f>F16*-W$30</f>
        <v>-1395.8077690180216</v>
      </c>
      <c r="G24" s="540">
        <f>G16*-X$30</f>
        <v>-1484.1504691299692</v>
      </c>
      <c r="H24" s="541">
        <f>H16*-Y$30</f>
        <v>-397.03361320061168</v>
      </c>
      <c r="I24" s="542"/>
      <c r="J24" s="543" t="s">
        <v>93</v>
      </c>
      <c r="K24" s="544"/>
      <c r="L24" s="540">
        <f>L16*-V$30</f>
        <v>-906.1606069999998</v>
      </c>
      <c r="M24" s="540">
        <f>M16*-W$30</f>
        <v>-1270.1850698063997</v>
      </c>
      <c r="N24" s="540">
        <f>N16*-X$30</f>
        <v>-1350.5769269082718</v>
      </c>
      <c r="O24" s="541">
        <f>O16*-Y$30</f>
        <v>-361.3005880125566</v>
      </c>
    </row>
    <row r="25" spans="1:26" ht="15.75" customHeight="1">
      <c r="B25" s="243" t="s">
        <v>113</v>
      </c>
      <c r="C25" s="246"/>
      <c r="D25" s="246"/>
      <c r="E25" s="241">
        <f t="shared" ref="E25:H25" si="5">SUM(E21:E24)</f>
        <v>5865.9578212659326</v>
      </c>
      <c r="F25" s="241">
        <f t="shared" si="5"/>
        <v>9784.1994042005135</v>
      </c>
      <c r="G25" s="241">
        <f t="shared" si="5"/>
        <v>10370.04099743159</v>
      </c>
      <c r="H25" s="242">
        <f t="shared" si="5"/>
        <v>5551.0240036229579</v>
      </c>
      <c r="J25" s="243" t="s">
        <v>113</v>
      </c>
      <c r="K25" s="246"/>
      <c r="L25" s="241">
        <f>SUM(L21:L24)</f>
        <v>5338.0216173519966</v>
      </c>
      <c r="M25" s="241">
        <f>SUM(M21:M24)</f>
        <v>8903.6214578224681</v>
      </c>
      <c r="N25" s="241">
        <f>SUM(N21:N24)</f>
        <v>9436.7373076627464</v>
      </c>
      <c r="O25" s="242">
        <f>SUM(O21:O24)</f>
        <v>5051.4318432968921</v>
      </c>
      <c r="S25" s="318" t="s">
        <v>210</v>
      </c>
      <c r="T25" s="319"/>
      <c r="U25" s="319"/>
      <c r="V25" s="319">
        <f>'Key Inputs and Assumptions'!$C$16</f>
        <v>44196</v>
      </c>
      <c r="W25" s="319">
        <f>V25+365</f>
        <v>44561</v>
      </c>
      <c r="X25" s="319">
        <f t="shared" ref="X25:Y25" si="6">W25+365</f>
        <v>44926</v>
      </c>
      <c r="Y25" s="320">
        <f t="shared" si="6"/>
        <v>45291</v>
      </c>
    </row>
    <row r="26" spans="1:26">
      <c r="B26" s="119" t="s">
        <v>5</v>
      </c>
      <c r="C26" s="244"/>
      <c r="D26" s="244"/>
      <c r="E26" s="252">
        <f>stub</f>
        <v>0.75136612021857918</v>
      </c>
      <c r="F26" s="252">
        <f>YEARFRAC(E14,F14,0)</f>
        <v>1</v>
      </c>
      <c r="G26" s="252">
        <f>YEARFRAC(F14,G14,0)</f>
        <v>1</v>
      </c>
      <c r="H26" s="253">
        <f>YEARFRAC(G14,H14,0)</f>
        <v>0.25</v>
      </c>
      <c r="J26" s="119" t="s">
        <v>5</v>
      </c>
      <c r="K26" s="244"/>
      <c r="L26" s="252">
        <f>E26</f>
        <v>0.75136612021857918</v>
      </c>
      <c r="M26" s="252">
        <f t="shared" ref="M26:O29" si="7">F26</f>
        <v>1</v>
      </c>
      <c r="N26" s="252">
        <f t="shared" si="7"/>
        <v>1</v>
      </c>
      <c r="O26" s="253">
        <f t="shared" si="7"/>
        <v>0.25</v>
      </c>
      <c r="S26" s="124" t="s">
        <v>74</v>
      </c>
      <c r="T26" s="39"/>
      <c r="U26" s="39"/>
      <c r="V26" s="40">
        <f>IRR!G46</f>
        <v>0.42999999999999994</v>
      </c>
      <c r="W26" s="40">
        <f>IRR!H46</f>
        <v>0.43</v>
      </c>
      <c r="X26" s="40">
        <f>IRR!I46</f>
        <v>0.43</v>
      </c>
      <c r="Y26" s="139">
        <f>IRR!J46</f>
        <v>0.43</v>
      </c>
    </row>
    <row r="27" spans="1:26">
      <c r="B27" s="119" t="s">
        <v>96</v>
      </c>
      <c r="C27" s="244"/>
      <c r="D27" s="244"/>
      <c r="E27" s="252">
        <f>E26</f>
        <v>0.75136612021857918</v>
      </c>
      <c r="F27" s="252">
        <f>F26+E27</f>
        <v>1.7513661202185791</v>
      </c>
      <c r="G27" s="252">
        <f t="shared" ref="G27:H27" si="8">G26+F27</f>
        <v>2.7513661202185791</v>
      </c>
      <c r="H27" s="253">
        <f t="shared" si="8"/>
        <v>3.0013661202185791</v>
      </c>
      <c r="J27" s="119" t="s">
        <v>96</v>
      </c>
      <c r="K27" s="244"/>
      <c r="L27" s="252">
        <f t="shared" ref="L27:L29" si="9">E27</f>
        <v>0.75136612021857918</v>
      </c>
      <c r="M27" s="252">
        <f t="shared" si="7"/>
        <v>1.7513661202185791</v>
      </c>
      <c r="N27" s="252">
        <f t="shared" si="7"/>
        <v>2.7513661202185791</v>
      </c>
      <c r="O27" s="253">
        <f t="shared" si="7"/>
        <v>3.0013661202185791</v>
      </c>
      <c r="S27" s="124" t="s">
        <v>124</v>
      </c>
      <c r="T27" s="39"/>
      <c r="U27" s="39"/>
      <c r="V27" s="40">
        <f>-IRR!G45</f>
        <v>0.45</v>
      </c>
      <c r="W27" s="40">
        <f>-IRR!H45</f>
        <v>0.45</v>
      </c>
      <c r="X27" s="40">
        <f>-IRR!I45</f>
        <v>0.45</v>
      </c>
      <c r="Y27" s="139">
        <f>-IRR!J45</f>
        <v>0.45</v>
      </c>
    </row>
    <row r="28" spans="1:26">
      <c r="B28" s="119" t="s">
        <v>6</v>
      </c>
      <c r="C28" s="244"/>
      <c r="D28" s="244"/>
      <c r="E28" s="252">
        <f>E26/2</f>
        <v>0.37568306010928959</v>
      </c>
      <c r="F28" s="252">
        <f>E27+(F26/2)</f>
        <v>1.2513661202185791</v>
      </c>
      <c r="G28" s="252">
        <f t="shared" ref="G28:H28" si="10">F27+(G26/2)</f>
        <v>2.2513661202185791</v>
      </c>
      <c r="H28" s="253">
        <f t="shared" si="10"/>
        <v>2.8763661202185791</v>
      </c>
      <c r="J28" s="119" t="s">
        <v>6</v>
      </c>
      <c r="K28" s="244"/>
      <c r="L28" s="252">
        <f t="shared" si="9"/>
        <v>0.37568306010928959</v>
      </c>
      <c r="M28" s="252">
        <f t="shared" si="7"/>
        <v>1.2513661202185791</v>
      </c>
      <c r="N28" s="252">
        <f t="shared" si="7"/>
        <v>2.2513661202185791</v>
      </c>
      <c r="O28" s="253">
        <f t="shared" si="7"/>
        <v>2.8763661202185791</v>
      </c>
      <c r="S28" s="124" t="s">
        <v>66</v>
      </c>
      <c r="T28" s="39"/>
      <c r="U28" s="39"/>
      <c r="V28" s="40">
        <f>-IRR!G47</f>
        <v>0.03</v>
      </c>
      <c r="W28" s="40">
        <f>-IRR!H47</f>
        <v>0.03</v>
      </c>
      <c r="X28" s="40">
        <f>-IRR!I47</f>
        <v>0.03</v>
      </c>
      <c r="Y28" s="139">
        <f>-IRR!J47</f>
        <v>0.03</v>
      </c>
    </row>
    <row r="29" spans="1:26">
      <c r="B29" s="119" t="s">
        <v>7</v>
      </c>
      <c r="C29" s="254"/>
      <c r="D29" s="131">
        <f>WARA!$E$18</f>
        <v>0.155</v>
      </c>
      <c r="E29" s="255">
        <f>(1+$D$29)^-E28</f>
        <v>0.94730320937616608</v>
      </c>
      <c r="F29" s="255">
        <f>(1+$D$29)^-F28</f>
        <v>0.83500105691918569</v>
      </c>
      <c r="G29" s="255">
        <f>(1+$D$29)^-G28</f>
        <v>0.72294463802526898</v>
      </c>
      <c r="H29" s="256">
        <f>(1+$D$29)^-H28</f>
        <v>0.66068021406781352</v>
      </c>
      <c r="J29" s="119" t="s">
        <v>7</v>
      </c>
      <c r="K29" s="254"/>
      <c r="L29" s="255">
        <f t="shared" si="9"/>
        <v>0.94730320937616608</v>
      </c>
      <c r="M29" s="255">
        <f t="shared" si="7"/>
        <v>0.83500105691918569</v>
      </c>
      <c r="N29" s="255">
        <f t="shared" si="7"/>
        <v>0.72294463802526898</v>
      </c>
      <c r="O29" s="256">
        <f t="shared" si="7"/>
        <v>0.66068021406781352</v>
      </c>
      <c r="S29" s="124" t="s">
        <v>125</v>
      </c>
      <c r="T29" s="39"/>
      <c r="U29" s="39"/>
      <c r="V29" s="40">
        <f>PFI!C32</f>
        <v>0.1</v>
      </c>
      <c r="W29" s="40">
        <f>V29</f>
        <v>0.1</v>
      </c>
      <c r="X29" s="40">
        <f t="shared" ref="X29:Y30" si="11">W29</f>
        <v>0.1</v>
      </c>
      <c r="Y29" s="139">
        <f t="shared" si="11"/>
        <v>0.1</v>
      </c>
    </row>
    <row r="30" spans="1:26" ht="15.75" thickBot="1">
      <c r="B30" s="257" t="s">
        <v>211</v>
      </c>
      <c r="C30" s="259"/>
      <c r="D30" s="260"/>
      <c r="E30" s="261">
        <f>E25*E29</f>
        <v>5556.8406701504409</v>
      </c>
      <c r="F30" s="261">
        <f>F25*F29</f>
        <v>8169.8168436154956</v>
      </c>
      <c r="G30" s="261">
        <f>G25*G29</f>
        <v>7496.9655351953797</v>
      </c>
      <c r="H30" s="262">
        <f>H25*H29</f>
        <v>3667.4517270091869</v>
      </c>
      <c r="J30" s="257" t="s">
        <v>211</v>
      </c>
      <c r="K30" s="259"/>
      <c r="L30" s="261">
        <f>L25*L29</f>
        <v>5056.7250098368995</v>
      </c>
      <c r="M30" s="261">
        <f>M25*M29</f>
        <v>7434.5333276901019</v>
      </c>
      <c r="N30" s="261">
        <f>N25*N29</f>
        <v>6822.2386370277954</v>
      </c>
      <c r="O30" s="262">
        <f>O25*O29</f>
        <v>3337.3810715783607</v>
      </c>
      <c r="S30" s="140" t="s">
        <v>93</v>
      </c>
      <c r="T30" s="265"/>
      <c r="U30" s="265"/>
      <c r="V30" s="141">
        <f>PFI!C31</f>
        <v>0.04</v>
      </c>
      <c r="W30" s="141">
        <f>V30</f>
        <v>0.04</v>
      </c>
      <c r="X30" s="141">
        <f t="shared" si="11"/>
        <v>0.04</v>
      </c>
      <c r="Y30" s="266">
        <f t="shared" si="11"/>
        <v>0.04</v>
      </c>
    </row>
    <row r="31" spans="1:26">
      <c r="A31" s="26"/>
      <c r="B31" s="64"/>
      <c r="C31" s="65"/>
      <c r="D31" s="65"/>
      <c r="E31" s="62"/>
      <c r="F31" s="46"/>
      <c r="G31" s="43"/>
      <c r="H31" s="43"/>
      <c r="O31" s="43"/>
      <c r="T31" s="43"/>
      <c r="U31" s="43"/>
      <c r="V31" s="43"/>
      <c r="W31" s="43"/>
      <c r="X31" s="43"/>
      <c r="Y31" s="43"/>
    </row>
    <row r="32" spans="1:26">
      <c r="A32" s="26"/>
      <c r="B32" s="64"/>
      <c r="C32" s="65"/>
      <c r="D32" s="65"/>
      <c r="E32" s="62"/>
      <c r="F32" s="46"/>
      <c r="G32" s="43"/>
      <c r="H32" s="43"/>
      <c r="O32" s="43"/>
      <c r="T32" s="43"/>
      <c r="U32" s="43"/>
      <c r="V32" s="43"/>
      <c r="W32" s="43"/>
      <c r="X32" s="43"/>
      <c r="Y32" s="43"/>
    </row>
    <row r="33" spans="1:20">
      <c r="A33" s="26"/>
      <c r="B33" s="64"/>
      <c r="C33" s="65"/>
      <c r="D33" s="65"/>
      <c r="E33" s="62"/>
      <c r="F33" s="46"/>
      <c r="G33" s="43"/>
      <c r="H33" s="43"/>
      <c r="O33" s="43"/>
    </row>
    <row r="34" spans="1:20">
      <c r="A34" s="26"/>
      <c r="B34" s="55" t="s">
        <v>216</v>
      </c>
      <c r="C34" s="65"/>
      <c r="D34" s="65"/>
      <c r="E34" s="62"/>
      <c r="F34" s="46"/>
      <c r="G34" s="43"/>
      <c r="H34" s="43"/>
      <c r="O34" s="43"/>
      <c r="S34" s="55" t="str">
        <f>B34</f>
        <v>Notes:</v>
      </c>
    </row>
    <row r="35" spans="1:20">
      <c r="B35" s="55" t="str">
        <f>E10&amp;" Based on discussions with the Management."</f>
        <v>(a) Based on discussions with the Management.</v>
      </c>
      <c r="C35" s="43"/>
      <c r="D35" s="43"/>
      <c r="E35" s="43"/>
      <c r="F35" s="43"/>
      <c r="G35" s="43"/>
      <c r="H35" s="43"/>
      <c r="O35" s="43"/>
      <c r="S35" s="55" t="str">
        <f>B35</f>
        <v>(a) Based on discussions with the Management.</v>
      </c>
    </row>
    <row r="36" spans="1:20">
      <c r="C36" s="43"/>
      <c r="D36" s="43"/>
      <c r="E36" s="43"/>
      <c r="F36" s="43"/>
      <c r="G36" s="43"/>
      <c r="H36" s="43"/>
      <c r="O36" s="43"/>
    </row>
    <row r="37" spans="1:20">
      <c r="A37" s="26"/>
      <c r="B37" s="564"/>
      <c r="C37" s="65"/>
      <c r="D37" s="65"/>
      <c r="E37" s="62"/>
      <c r="F37" s="46"/>
      <c r="G37" s="70"/>
      <c r="H37" s="70"/>
      <c r="O37" s="43"/>
      <c r="R37" t="s">
        <v>105</v>
      </c>
      <c r="T37">
        <v>15</v>
      </c>
    </row>
    <row r="38" spans="1:20">
      <c r="A38" s="26"/>
      <c r="B38" s="48"/>
      <c r="C38" s="68"/>
      <c r="D38" s="69"/>
      <c r="E38" s="63"/>
      <c r="F38" s="63"/>
      <c r="G38" s="63"/>
      <c r="H38" s="63"/>
      <c r="I38" s="26"/>
      <c r="O38" s="63"/>
    </row>
    <row r="39" spans="1:20">
      <c r="B39" s="26"/>
      <c r="C39" s="26"/>
      <c r="D39" s="26"/>
      <c r="E39" s="26"/>
      <c r="F39" s="26"/>
      <c r="G39" s="26"/>
      <c r="H39" s="26"/>
      <c r="O39" s="63"/>
    </row>
    <row r="40" spans="1:20">
      <c r="O40" s="63"/>
    </row>
    <row r="41" spans="1:20">
      <c r="O41" s="42"/>
    </row>
    <row r="42" spans="1:20">
      <c r="O42" s="42"/>
    </row>
    <row r="43" spans="1:20">
      <c r="O43" s="42"/>
    </row>
    <row r="44" spans="1:20">
      <c r="O44" s="3"/>
    </row>
    <row r="45" spans="1:20">
      <c r="O45" s="44"/>
    </row>
    <row r="46" spans="1:20">
      <c r="O46" s="3"/>
    </row>
    <row r="47" spans="1:20">
      <c r="O47" s="44"/>
    </row>
    <row r="48" spans="1:20">
      <c r="A48" s="26"/>
      <c r="O48" s="43"/>
    </row>
    <row r="49" spans="1:19">
      <c r="A49" s="26"/>
      <c r="O49" s="43"/>
    </row>
    <row r="50" spans="1:19">
      <c r="A50" s="26"/>
      <c r="O50" s="43"/>
    </row>
    <row r="51" spans="1:19">
      <c r="O51" s="43"/>
    </row>
    <row r="52" spans="1:19">
      <c r="J52" s="42"/>
      <c r="K52" s="42"/>
      <c r="L52" s="42"/>
      <c r="M52" s="42"/>
      <c r="N52" s="42"/>
      <c r="O52" s="43"/>
      <c r="R52" s="42"/>
      <c r="S52" s="3"/>
    </row>
    <row r="53" spans="1:19">
      <c r="J53" s="42"/>
      <c r="K53" s="42"/>
      <c r="L53" s="42"/>
      <c r="M53" s="42"/>
      <c r="N53" s="42"/>
      <c r="O53" s="54"/>
      <c r="R53" s="42"/>
      <c r="S53" s="42"/>
    </row>
    <row r="54" spans="1:19">
      <c r="O54" s="54"/>
    </row>
    <row r="55" spans="1:19">
      <c r="O55" s="54"/>
    </row>
    <row r="56" spans="1:19">
      <c r="O56" s="54"/>
    </row>
    <row r="57" spans="1:19">
      <c r="O57" s="54"/>
    </row>
    <row r="58" spans="1:19">
      <c r="O58" s="43"/>
    </row>
    <row r="59" spans="1:19">
      <c r="O59" s="43"/>
    </row>
    <row r="60" spans="1:19">
      <c r="O60" s="43"/>
    </row>
    <row r="61" spans="1:19">
      <c r="O61" s="43"/>
    </row>
    <row r="62" spans="1:19">
      <c r="O62" s="43"/>
    </row>
    <row r="63" spans="1:19">
      <c r="O63" s="43"/>
    </row>
    <row r="64" spans="1:19">
      <c r="O64" s="43"/>
    </row>
    <row r="65" spans="2:15">
      <c r="O65" s="43"/>
    </row>
    <row r="66" spans="2:15">
      <c r="B66" s="55"/>
      <c r="C66" s="43"/>
      <c r="D66" s="43"/>
      <c r="E66" s="43"/>
      <c r="F66" s="43"/>
      <c r="G66" s="43"/>
      <c r="H66" s="43"/>
      <c r="O66" s="43"/>
    </row>
    <row r="67" spans="2:15">
      <c r="B67" s="43"/>
      <c r="C67" s="43"/>
      <c r="D67" s="43"/>
      <c r="E67" s="43"/>
      <c r="F67" s="43"/>
      <c r="G67" s="43"/>
      <c r="H67" s="43"/>
      <c r="O67" s="43"/>
    </row>
    <row r="68" spans="2:15">
      <c r="B68" s="43"/>
      <c r="C68" s="43"/>
      <c r="D68" s="43"/>
      <c r="E68" s="43"/>
      <c r="F68" s="43"/>
      <c r="G68" s="43"/>
      <c r="H68" s="43"/>
      <c r="O68" s="43"/>
    </row>
    <row r="69" spans="2:15">
      <c r="B69" s="43"/>
      <c r="C69" s="43"/>
      <c r="D69" s="43"/>
      <c r="E69" s="43"/>
      <c r="F69" s="43"/>
      <c r="G69" s="43"/>
      <c r="H69" s="43"/>
      <c r="O69" s="43"/>
    </row>
  </sheetData>
  <mergeCells count="2">
    <mergeCell ref="F12:G12"/>
    <mergeCell ref="M12:N12"/>
  </mergeCells>
  <pageMargins left="0.5" right="0.5" top="0.5" bottom="0.5" header="0.5" footer="0.5"/>
  <pageSetup fitToHeight="0" orientation="landscape" r:id="rId1"/>
  <rowBreaks count="1" manualBreakCount="1">
    <brk id="65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69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12.140625" customWidth="1"/>
    <col min="3" max="3" width="6.85546875" customWidth="1"/>
    <col min="4" max="4" width="7.7109375" customWidth="1"/>
    <col min="5" max="8" width="8.7109375" customWidth="1"/>
    <col min="9" max="9" width="1.7109375" customWidth="1"/>
    <col min="10" max="10" width="12.140625" customWidth="1"/>
    <col min="12" max="15" width="8.7109375" customWidth="1"/>
    <col min="16" max="16" width="2.7109375" customWidth="1"/>
    <col min="18" max="18" width="3.5703125" customWidth="1"/>
    <col min="19" max="19" width="12.140625" customWidth="1"/>
    <col min="20" max="20" width="6.85546875" customWidth="1"/>
    <col min="21" max="21" width="7.7109375" customWidth="1"/>
    <col min="22" max="25" width="8.7109375" customWidth="1"/>
    <col min="26" max="26" width="1.7109375" customWidth="1"/>
    <col min="27" max="27" width="12.140625" customWidth="1"/>
    <col min="29" max="32" width="8.7109375" customWidth="1"/>
    <col min="33" max="33" width="2.7109375" customWidth="1"/>
  </cols>
  <sheetData>
    <row r="1" spans="2:34" ht="15.75">
      <c r="B1" s="18" t="str">
        <f>Acq_name</f>
        <v>[Acq.Co. Holdings Ltd.]</v>
      </c>
      <c r="O1" s="34" t="str">
        <f>"Exhibit: "&amp;INDEX(TOC!$B$5:$E$34,MATCH($B$3,TOC!$E$5:$E$36,0),COLUMNS(TOC!J5))&amp;Q1</f>
        <v>Exhibit: L.1</v>
      </c>
      <c r="Q1" s="377" t="s">
        <v>304</v>
      </c>
      <c r="S1" s="18" t="str">
        <f>B1</f>
        <v>[Acq.Co. Holdings Ltd.]</v>
      </c>
      <c r="AF1" s="34" t="str">
        <f>"Exhibit: "&amp;INDEX(TOC!$B$5:$E$34,MATCH($B$3,TOC!$E$5:$E$36,0),COLUMNS(TOC!AA5))&amp;AH1</f>
        <v>Exhibit: L.2</v>
      </c>
      <c r="AH1" s="377" t="s">
        <v>305</v>
      </c>
    </row>
    <row r="2" spans="2:34">
      <c r="B2" s="19" t="str">
        <f>Targ_name</f>
        <v>[ABC Corporation]</v>
      </c>
      <c r="S2" s="19" t="str">
        <f t="shared" ref="S2:S5" si="0">B2</f>
        <v>[ABC Corporation]</v>
      </c>
    </row>
    <row r="3" spans="2:34">
      <c r="B3" s="20" t="str">
        <f>TOC!E24</f>
        <v>Non-Compete Agreement - B</v>
      </c>
      <c r="S3" s="20" t="str">
        <f t="shared" si="0"/>
        <v>Non-Compete Agreement - B</v>
      </c>
    </row>
    <row r="4" spans="2:34">
      <c r="B4" s="25" t="str">
        <f>"Valuation as of "&amp;TEXT(Val_date,"DD MMMM YYYY")</f>
        <v>Valuation as of 31 March 2020</v>
      </c>
      <c r="S4" s="25" t="str">
        <f t="shared" si="0"/>
        <v>Valuation as of 31 March 2020</v>
      </c>
    </row>
    <row r="5" spans="2:34">
      <c r="B5" s="27" t="str">
        <f>'Key Inputs and Assumptions'!C24</f>
        <v>(in USD ‘000s unless specified otherwise)</v>
      </c>
      <c r="S5" s="27" t="str">
        <f t="shared" si="0"/>
        <v>(in USD ‘000s unless specified otherwise)</v>
      </c>
    </row>
    <row r="6" spans="2:34" ht="15.75" thickBot="1"/>
    <row r="7" spans="2:34">
      <c r="B7" s="318" t="s">
        <v>122</v>
      </c>
      <c r="C7" s="319"/>
      <c r="D7" s="319"/>
      <c r="E7" s="319"/>
      <c r="F7" s="320"/>
    </row>
    <row r="8" spans="2:34">
      <c r="B8" s="245" t="s">
        <v>126</v>
      </c>
      <c r="C8" s="317"/>
      <c r="D8" s="317"/>
      <c r="E8" s="317"/>
      <c r="F8" s="497">
        <f>'Key Inputs and Assumptions'!$C$36</f>
        <v>0.15</v>
      </c>
    </row>
    <row r="9" spans="2:34">
      <c r="B9" s="416" t="s">
        <v>333</v>
      </c>
      <c r="C9" s="417"/>
      <c r="D9" s="417"/>
      <c r="E9" s="317"/>
      <c r="F9" s="496">
        <f>'Key Inputs and Assumptions'!$C$33</f>
        <v>3.5</v>
      </c>
    </row>
    <row r="10" spans="2:34" ht="15.75" thickBot="1">
      <c r="B10" s="140" t="s">
        <v>123</v>
      </c>
      <c r="C10" s="325"/>
      <c r="D10" s="325"/>
      <c r="E10" s="325" t="s">
        <v>172</v>
      </c>
      <c r="F10" s="519">
        <v>-0.12</v>
      </c>
    </row>
    <row r="11" spans="2:34" ht="15.75" thickBot="1"/>
    <row r="12" spans="2:34" ht="15" customHeight="1">
      <c r="B12" s="433"/>
      <c r="C12" s="433"/>
      <c r="D12" s="433"/>
      <c r="E12" s="433" t="s">
        <v>413</v>
      </c>
      <c r="F12" s="776"/>
      <c r="G12" s="776"/>
      <c r="H12" s="430" t="s">
        <v>414</v>
      </c>
      <c r="I12" s="26"/>
      <c r="J12" s="758"/>
      <c r="K12" s="433"/>
      <c r="L12" s="433" t="s">
        <v>413</v>
      </c>
      <c r="M12" s="776"/>
      <c r="N12" s="776"/>
      <c r="O12" s="429" t="s">
        <v>414</v>
      </c>
      <c r="S12" s="563" t="s">
        <v>215</v>
      </c>
      <c r="T12" s="314"/>
      <c r="U12" s="314"/>
      <c r="V12" s="314"/>
      <c r="W12" s="314"/>
      <c r="X12" s="314"/>
      <c r="Y12" s="315"/>
    </row>
    <row r="13" spans="2:34" ht="15" customHeight="1">
      <c r="B13" s="434"/>
      <c r="C13" s="434"/>
      <c r="D13" s="434"/>
      <c r="E13" s="752">
        <v>44196</v>
      </c>
      <c r="F13" s="434"/>
      <c r="G13" s="434"/>
      <c r="H13" s="753">
        <v>44104</v>
      </c>
      <c r="I13" s="26"/>
      <c r="J13" s="751"/>
      <c r="K13" s="434"/>
      <c r="L13" s="752">
        <v>44196</v>
      </c>
      <c r="M13" s="434"/>
      <c r="N13" s="434"/>
      <c r="O13" s="759">
        <v>44104</v>
      </c>
      <c r="S13" s="124" t="s">
        <v>212</v>
      </c>
      <c r="T13" s="36"/>
      <c r="U13" s="36"/>
      <c r="V13" s="187"/>
      <c r="W13" s="187"/>
      <c r="X13" s="187"/>
      <c r="Y13" s="122">
        <f>SUM(E30:H30)</f>
        <v>27107.405926881162</v>
      </c>
    </row>
    <row r="14" spans="2:34" ht="15" customHeight="1">
      <c r="B14" s="322" t="s">
        <v>115</v>
      </c>
      <c r="C14" s="236"/>
      <c r="D14" s="237"/>
      <c r="E14" s="238">
        <f>'Key Inputs and Assumptions'!$C$16</f>
        <v>44196</v>
      </c>
      <c r="F14" s="238">
        <f>E14+365</f>
        <v>44561</v>
      </c>
      <c r="G14" s="238">
        <f t="shared" ref="G14" si="1">F14+365</f>
        <v>44926</v>
      </c>
      <c r="H14" s="323">
        <f>EOMONTH(Val_date,$F$9*12)</f>
        <v>45199</v>
      </c>
      <c r="J14" s="322" t="s">
        <v>387</v>
      </c>
      <c r="K14" s="238"/>
      <c r="L14" s="238">
        <f>'Key Inputs and Assumptions'!$C$16</f>
        <v>44196</v>
      </c>
      <c r="M14" s="238">
        <f>L14+365</f>
        <v>44561</v>
      </c>
      <c r="N14" s="238">
        <f t="shared" ref="N14" si="2">M14+365</f>
        <v>44926</v>
      </c>
      <c r="O14" s="323">
        <f>EOMONTH(Val_date,$F$9*12)</f>
        <v>45199</v>
      </c>
      <c r="R14" s="25"/>
      <c r="S14" s="124" t="s">
        <v>213</v>
      </c>
      <c r="T14" s="36"/>
      <c r="U14" s="36"/>
      <c r="V14" s="187"/>
      <c r="W14" s="187"/>
      <c r="X14" s="187"/>
      <c r="Y14" s="122">
        <f>SUM(L30:O30)</f>
        <v>23854.517215655425</v>
      </c>
    </row>
    <row r="15" spans="2:34">
      <c r="B15" s="324"/>
      <c r="C15" s="33"/>
      <c r="D15" s="33"/>
      <c r="E15" s="121"/>
      <c r="F15" s="121"/>
      <c r="G15" s="121"/>
      <c r="H15" s="122"/>
      <c r="J15" s="324"/>
      <c r="K15" s="33"/>
      <c r="L15" s="121"/>
      <c r="M15" s="121"/>
      <c r="N15" s="121"/>
      <c r="O15" s="122"/>
      <c r="S15" s="243" t="s">
        <v>214</v>
      </c>
      <c r="T15" s="246"/>
      <c r="U15" s="246"/>
      <c r="V15" s="246"/>
      <c r="W15" s="246"/>
      <c r="X15" s="316"/>
      <c r="Y15" s="242">
        <f>Y13-Y14</f>
        <v>3252.8887112257362</v>
      </c>
    </row>
    <row r="16" spans="2:34" ht="15.75" customHeight="1">
      <c r="B16" s="119" t="s">
        <v>62</v>
      </c>
      <c r="C16" s="33"/>
      <c r="D16" s="33"/>
      <c r="E16" s="121">
        <f>IRR!G9</f>
        <v>24894.522170329663</v>
      </c>
      <c r="F16" s="121">
        <f>IRR!H9</f>
        <v>34895.194225450541</v>
      </c>
      <c r="G16" s="121">
        <f>IRR!I9</f>
        <v>37103.761728249228</v>
      </c>
      <c r="H16" s="122">
        <f>IRR!J9*(YEARFRAC(G14,H14,0))</f>
        <v>29777.520990045872</v>
      </c>
      <c r="J16" s="119" t="s">
        <v>62</v>
      </c>
      <c r="K16" s="33"/>
      <c r="L16" s="121">
        <f>E16*(1+$F$10)</f>
        <v>21907.179509890102</v>
      </c>
      <c r="M16" s="121">
        <f>F16*(1+$F$10)</f>
        <v>30707.770918396476</v>
      </c>
      <c r="N16" s="121">
        <f>G16*(1+$F$10)</f>
        <v>32651.31032085932</v>
      </c>
      <c r="O16" s="122">
        <f>H16*(1+$F$10)</f>
        <v>26204.218471240369</v>
      </c>
      <c r="S16" s="245" t="s">
        <v>126</v>
      </c>
      <c r="T16" s="244"/>
      <c r="U16" s="317"/>
      <c r="V16" s="317"/>
      <c r="W16" s="317"/>
      <c r="X16" s="186"/>
      <c r="Y16" s="498">
        <f>F8</f>
        <v>0.15</v>
      </c>
    </row>
    <row r="17" spans="1:31" ht="15.75" customHeight="1">
      <c r="B17" s="215" t="s">
        <v>65</v>
      </c>
      <c r="C17" s="186"/>
      <c r="D17" s="186"/>
      <c r="E17" s="241">
        <f>E16*V$26</f>
        <v>10704.644533241753</v>
      </c>
      <c r="F17" s="241">
        <f>F16*W$26</f>
        <v>15004.933516943733</v>
      </c>
      <c r="G17" s="241">
        <f>G16*X$26</f>
        <v>15954.617543147167</v>
      </c>
      <c r="H17" s="242">
        <f>H16*Y$26</f>
        <v>12804.334025719725</v>
      </c>
      <c r="J17" s="215" t="s">
        <v>65</v>
      </c>
      <c r="K17" s="186"/>
      <c r="L17" s="241">
        <f>L16*V$26</f>
        <v>9420.087189252743</v>
      </c>
      <c r="M17" s="241">
        <f>M16*W26</f>
        <v>13204.341494910484</v>
      </c>
      <c r="N17" s="241">
        <f>N16*X26</f>
        <v>14040.063437969508</v>
      </c>
      <c r="O17" s="242">
        <f>O16*Y26</f>
        <v>11267.813942633358</v>
      </c>
      <c r="S17" s="243" t="s">
        <v>102</v>
      </c>
      <c r="T17" s="246"/>
      <c r="U17" s="246"/>
      <c r="V17" s="246"/>
      <c r="W17" s="246"/>
      <c r="X17" s="186"/>
      <c r="Y17" s="242">
        <f>Y16*Y15</f>
        <v>487.93330668386039</v>
      </c>
    </row>
    <row r="18" spans="1:31" ht="15.75" customHeight="1">
      <c r="B18" s="245" t="s">
        <v>127</v>
      </c>
      <c r="C18" s="246"/>
      <c r="D18" s="246"/>
      <c r="E18" s="521">
        <f>-E16*V$28</f>
        <v>-746.83566510988987</v>
      </c>
      <c r="F18" s="521">
        <f>-F16*W$28</f>
        <v>-1046.8558267635162</v>
      </c>
      <c r="G18" s="521">
        <f>-G16*X$28</f>
        <v>-1113.1128518474768</v>
      </c>
      <c r="H18" s="522">
        <f>-H16*Y$28</f>
        <v>-893.3256297013761</v>
      </c>
      <c r="I18" s="537"/>
      <c r="J18" s="538" t="s">
        <v>127</v>
      </c>
      <c r="K18" s="539"/>
      <c r="L18" s="521">
        <f>-L16*V$28</f>
        <v>-657.21538529670306</v>
      </c>
      <c r="M18" s="521">
        <f>-M16*W28</f>
        <v>-921.2331275518942</v>
      </c>
      <c r="N18" s="521">
        <f>-N16*X28</f>
        <v>-979.53930962577954</v>
      </c>
      <c r="O18" s="522">
        <f>-O16*Y28</f>
        <v>-786.12655413721109</v>
      </c>
      <c r="S18" s="245" t="s">
        <v>103</v>
      </c>
      <c r="T18" s="244"/>
      <c r="U18" s="244"/>
      <c r="V18" s="244"/>
      <c r="W18" s="244"/>
      <c r="X18" s="186"/>
      <c r="Y18" s="122">
        <f>Y17*($T$37/($T$37-((PV($D$29,$T$37,-1)*(1+$D$29)^0.5)*$D$20))-1)</f>
        <v>58.41314372473547</v>
      </c>
    </row>
    <row r="19" spans="1:31" ht="15.75" customHeight="1" thickBot="1">
      <c r="B19" s="215" t="s">
        <v>68</v>
      </c>
      <c r="C19" s="246"/>
      <c r="D19" s="246"/>
      <c r="E19" s="241">
        <f>SUM(E17:E18)</f>
        <v>9957.8088681318641</v>
      </c>
      <c r="F19" s="241">
        <f t="shared" ref="F19:H19" si="3">SUM(F17:F18)</f>
        <v>13958.077690180216</v>
      </c>
      <c r="G19" s="241">
        <f t="shared" si="3"/>
        <v>14841.504691299691</v>
      </c>
      <c r="H19" s="242">
        <f t="shared" si="3"/>
        <v>11911.008396018349</v>
      </c>
      <c r="J19" s="215" t="s">
        <v>68</v>
      </c>
      <c r="K19" s="246"/>
      <c r="L19" s="241">
        <f>SUM(L17:L18)</f>
        <v>8762.8718039560408</v>
      </c>
      <c r="M19" s="241">
        <f>SUM(M17:M18)</f>
        <v>12283.108367358591</v>
      </c>
      <c r="N19" s="241">
        <f>SUM(N17:N18)</f>
        <v>13060.524128343728</v>
      </c>
      <c r="O19" s="242">
        <f>SUM(O17:O18)</f>
        <v>10481.687388496148</v>
      </c>
      <c r="S19" s="257" t="s">
        <v>157</v>
      </c>
      <c r="T19" s="259"/>
      <c r="U19" s="260"/>
      <c r="V19" s="261"/>
      <c r="W19" s="261"/>
      <c r="X19" s="261"/>
      <c r="Y19" s="262">
        <f>ROUND(SUM(Y17:Y18),0)</f>
        <v>546</v>
      </c>
    </row>
    <row r="20" spans="1:31" ht="15.75" customHeight="1">
      <c r="B20" s="245" t="s">
        <v>167</v>
      </c>
      <c r="C20" s="246"/>
      <c r="D20" s="131">
        <f>IRR!F18</f>
        <v>0.26140000000000002</v>
      </c>
      <c r="E20" s="540">
        <f>$D$20*-E19</f>
        <v>-2602.9712381296695</v>
      </c>
      <c r="F20" s="540">
        <f>$D$20*-F19</f>
        <v>-3648.6415082131089</v>
      </c>
      <c r="G20" s="540">
        <f>$D$20*-G19</f>
        <v>-3879.5693263057397</v>
      </c>
      <c r="H20" s="541">
        <f>$D$20*-H19</f>
        <v>-3113.5375947191969</v>
      </c>
      <c r="I20" s="542"/>
      <c r="J20" s="543" t="s">
        <v>167</v>
      </c>
      <c r="K20" s="544"/>
      <c r="L20" s="540">
        <f>$D$20*-L19</f>
        <v>-2290.6146895541092</v>
      </c>
      <c r="M20" s="540">
        <f>$D$20*-M19</f>
        <v>-3210.8045272275358</v>
      </c>
      <c r="N20" s="540">
        <f>$D$20*-N19</f>
        <v>-3414.021007149051</v>
      </c>
      <c r="O20" s="541">
        <f>$D$20*-O19</f>
        <v>-2739.9130833528934</v>
      </c>
      <c r="Z20" s="42"/>
      <c r="AA20" s="42"/>
      <c r="AB20" s="42"/>
      <c r="AC20" s="42"/>
      <c r="AD20" s="42"/>
      <c r="AE20" s="42"/>
    </row>
    <row r="21" spans="1:31" ht="15.75" customHeight="1">
      <c r="B21" s="215" t="s">
        <v>70</v>
      </c>
      <c r="C21" s="246"/>
      <c r="D21" s="246"/>
      <c r="E21" s="241">
        <f>SUM(E19:E20)</f>
        <v>7354.8376300021946</v>
      </c>
      <c r="F21" s="241">
        <f t="shared" ref="F21:H21" si="4">SUM(F19:F20)</f>
        <v>10309.436181967107</v>
      </c>
      <c r="G21" s="241">
        <f t="shared" si="4"/>
        <v>10961.935364993951</v>
      </c>
      <c r="H21" s="242">
        <f t="shared" si="4"/>
        <v>8797.4708012991523</v>
      </c>
      <c r="J21" s="215" t="s">
        <v>70</v>
      </c>
      <c r="K21" s="246"/>
      <c r="L21" s="241">
        <f>SUM(L19:L20)</f>
        <v>6472.2571144019312</v>
      </c>
      <c r="M21" s="241">
        <f>SUM(M19:M20)</f>
        <v>9072.303840131055</v>
      </c>
      <c r="N21" s="241">
        <f>SUM(N19:N20)</f>
        <v>9646.5031211946771</v>
      </c>
      <c r="O21" s="242">
        <f>SUM(O19:O20)</f>
        <v>7741.7743051432544</v>
      </c>
      <c r="Z21" s="42"/>
      <c r="AA21" s="42"/>
      <c r="AB21" s="42"/>
      <c r="AC21" s="42"/>
      <c r="AD21" s="42"/>
      <c r="AE21" s="42"/>
    </row>
    <row r="22" spans="1:31" ht="15.75" customHeight="1">
      <c r="B22" s="245" t="s">
        <v>110</v>
      </c>
      <c r="C22" s="246"/>
      <c r="D22" s="246"/>
      <c r="E22" s="121">
        <f>-E18</f>
        <v>746.83566510988987</v>
      </c>
      <c r="F22" s="121">
        <f>-F18</f>
        <v>1046.8558267635162</v>
      </c>
      <c r="G22" s="121">
        <f>-G18</f>
        <v>1113.1128518474768</v>
      </c>
      <c r="H22" s="122">
        <f>-H18</f>
        <v>893.3256297013761</v>
      </c>
      <c r="J22" s="245" t="s">
        <v>110</v>
      </c>
      <c r="K22" s="246"/>
      <c r="L22" s="121">
        <f>-L18</f>
        <v>657.21538529670306</v>
      </c>
      <c r="M22" s="121">
        <f>-M18</f>
        <v>921.2331275518942</v>
      </c>
      <c r="N22" s="121">
        <f>-N18</f>
        <v>979.53930962577954</v>
      </c>
      <c r="O22" s="122">
        <f>-O18</f>
        <v>786.12655413721109</v>
      </c>
    </row>
    <row r="23" spans="1:31" ht="15.75" customHeight="1">
      <c r="B23" s="245" t="s">
        <v>209</v>
      </c>
      <c r="C23" s="246"/>
      <c r="D23" s="246"/>
      <c r="E23" s="540">
        <f>IRR!G22/IRR!G9*E16</f>
        <v>-1239.9345870329662</v>
      </c>
      <c r="F23" s="540">
        <f>(F16-(E16/stub))*-W29</f>
        <v>-176.28483551208774</v>
      </c>
      <c r="G23" s="540">
        <f>(G16-F16)*-X29</f>
        <v>-220.85675027986872</v>
      </c>
      <c r="H23" s="541">
        <f>(H16-G16)*-Y29</f>
        <v>732.62407382033564</v>
      </c>
      <c r="I23" s="542"/>
      <c r="J23" s="543" t="s">
        <v>209</v>
      </c>
      <c r="K23" s="544"/>
      <c r="L23" s="540">
        <f>IRR!G22/IRR!G9*L16</f>
        <v>-1091.1424365890102</v>
      </c>
      <c r="M23" s="540">
        <f>(M16-(L16/stub))*-W29</f>
        <v>-155.13065525063757</v>
      </c>
      <c r="N23" s="540">
        <f>(N16-M16)*-X29</f>
        <v>-194.35394024628442</v>
      </c>
      <c r="O23" s="541">
        <f>(O16-N16)*-Y29</f>
        <v>644.70918496189518</v>
      </c>
    </row>
    <row r="24" spans="1:31" ht="15.75" customHeight="1" thickBot="1">
      <c r="B24" s="245" t="s">
        <v>93</v>
      </c>
      <c r="C24" s="246"/>
      <c r="D24" s="246"/>
      <c r="E24" s="540">
        <f>E16*-V$30</f>
        <v>-995.7808868131865</v>
      </c>
      <c r="F24" s="540">
        <f>F16*-W$30</f>
        <v>-1395.8077690180216</v>
      </c>
      <c r="G24" s="540">
        <f>G16*-X$30</f>
        <v>-1484.1504691299692</v>
      </c>
      <c r="H24" s="541">
        <f>H16*-Y$30</f>
        <v>-1191.1008396018349</v>
      </c>
      <c r="I24" s="542"/>
      <c r="J24" s="543" t="s">
        <v>93</v>
      </c>
      <c r="K24" s="544"/>
      <c r="L24" s="540">
        <f>L16*-V$30</f>
        <v>-876.28718039560408</v>
      </c>
      <c r="M24" s="540">
        <f>M16*-W$30</f>
        <v>-1228.3108367358591</v>
      </c>
      <c r="N24" s="540">
        <f>N16*-X$30</f>
        <v>-1306.0524128343729</v>
      </c>
      <c r="O24" s="541">
        <f>O16*-Y$30</f>
        <v>-1048.1687388496148</v>
      </c>
    </row>
    <row r="25" spans="1:31" ht="15.75" customHeight="1">
      <c r="B25" s="243" t="s">
        <v>113</v>
      </c>
      <c r="C25" s="246"/>
      <c r="D25" s="246"/>
      <c r="E25" s="241">
        <f t="shared" ref="E25:H25" si="5">SUM(E21:E24)</f>
        <v>5865.9578212659326</v>
      </c>
      <c r="F25" s="241">
        <f t="shared" si="5"/>
        <v>9784.1994042005135</v>
      </c>
      <c r="G25" s="241">
        <f t="shared" si="5"/>
        <v>10370.04099743159</v>
      </c>
      <c r="H25" s="242">
        <f t="shared" si="5"/>
        <v>9232.319665219029</v>
      </c>
      <c r="J25" s="243" t="s">
        <v>113</v>
      </c>
      <c r="K25" s="246"/>
      <c r="L25" s="241">
        <f>SUM(L21:L24)</f>
        <v>5162.0428827140204</v>
      </c>
      <c r="M25" s="241">
        <f>SUM(M21:M24)</f>
        <v>8610.0954756964529</v>
      </c>
      <c r="N25" s="241">
        <f>SUM(N21:N24)</f>
        <v>9125.6360777397986</v>
      </c>
      <c r="O25" s="242">
        <f>SUM(O21:O24)</f>
        <v>8124.4413053927465</v>
      </c>
      <c r="S25" s="318" t="s">
        <v>210</v>
      </c>
      <c r="T25" s="319"/>
      <c r="U25" s="319"/>
      <c r="V25" s="319">
        <f>'Key Inputs and Assumptions'!$C$16</f>
        <v>44196</v>
      </c>
      <c r="W25" s="319">
        <f>V25+365</f>
        <v>44561</v>
      </c>
      <c r="X25" s="319">
        <f t="shared" ref="X25:Y25" si="6">W25+365</f>
        <v>44926</v>
      </c>
      <c r="Y25" s="320">
        <f t="shared" si="6"/>
        <v>45291</v>
      </c>
    </row>
    <row r="26" spans="1:31">
      <c r="B26" s="119" t="s">
        <v>5</v>
      </c>
      <c r="C26" s="244"/>
      <c r="D26" s="244"/>
      <c r="E26" s="252">
        <f>stub</f>
        <v>0.75136612021857918</v>
      </c>
      <c r="F26" s="252">
        <f>YEARFRAC(E14,F14,0)</f>
        <v>1</v>
      </c>
      <c r="G26" s="252">
        <f>YEARFRAC(F14,G14,0)</f>
        <v>1</v>
      </c>
      <c r="H26" s="253">
        <f>YEARFRAC(G14,H14,0)</f>
        <v>0.75</v>
      </c>
      <c r="J26" s="119" t="s">
        <v>5</v>
      </c>
      <c r="K26" s="244"/>
      <c r="L26" s="252">
        <f>E26</f>
        <v>0.75136612021857918</v>
      </c>
      <c r="M26" s="252">
        <f t="shared" ref="M26:M29" si="7">F26</f>
        <v>1</v>
      </c>
      <c r="N26" s="252">
        <f t="shared" ref="N26:N29" si="8">G26</f>
        <v>1</v>
      </c>
      <c r="O26" s="253">
        <f t="shared" ref="O26:O29" si="9">H26</f>
        <v>0.75</v>
      </c>
      <c r="S26" s="124" t="s">
        <v>74</v>
      </c>
      <c r="T26" s="39"/>
      <c r="U26" s="39"/>
      <c r="V26" s="40">
        <f>IRR!G46</f>
        <v>0.42999999999999994</v>
      </c>
      <c r="W26" s="40">
        <f>IRR!H46</f>
        <v>0.43</v>
      </c>
      <c r="X26" s="40">
        <f>IRR!I46</f>
        <v>0.43</v>
      </c>
      <c r="Y26" s="139">
        <f>IRR!J46</f>
        <v>0.43</v>
      </c>
    </row>
    <row r="27" spans="1:31">
      <c r="B27" s="119" t="s">
        <v>96</v>
      </c>
      <c r="C27" s="244"/>
      <c r="D27" s="244"/>
      <c r="E27" s="252">
        <f>E26</f>
        <v>0.75136612021857918</v>
      </c>
      <c r="F27" s="252">
        <f>F26+E27</f>
        <v>1.7513661202185791</v>
      </c>
      <c r="G27" s="252">
        <f t="shared" ref="G27:H27" si="10">G26+F27</f>
        <v>2.7513661202185791</v>
      </c>
      <c r="H27" s="253">
        <f t="shared" si="10"/>
        <v>3.5013661202185791</v>
      </c>
      <c r="J27" s="119" t="s">
        <v>96</v>
      </c>
      <c r="K27" s="244"/>
      <c r="L27" s="252">
        <f t="shared" ref="L27:L29" si="11">E27</f>
        <v>0.75136612021857918</v>
      </c>
      <c r="M27" s="252">
        <f t="shared" si="7"/>
        <v>1.7513661202185791</v>
      </c>
      <c r="N27" s="252">
        <f t="shared" si="8"/>
        <v>2.7513661202185791</v>
      </c>
      <c r="O27" s="253">
        <f t="shared" si="9"/>
        <v>3.5013661202185791</v>
      </c>
      <c r="S27" s="124" t="s">
        <v>124</v>
      </c>
      <c r="T27" s="39"/>
      <c r="U27" s="39"/>
      <c r="V27" s="40">
        <f>-IRR!G45</f>
        <v>0.45</v>
      </c>
      <c r="W27" s="40">
        <f>-IRR!H45</f>
        <v>0.45</v>
      </c>
      <c r="X27" s="40">
        <f>-IRR!I45</f>
        <v>0.45</v>
      </c>
      <c r="Y27" s="139">
        <f>-IRR!J45</f>
        <v>0.45</v>
      </c>
    </row>
    <row r="28" spans="1:31">
      <c r="B28" s="119" t="s">
        <v>6</v>
      </c>
      <c r="C28" s="244"/>
      <c r="D28" s="244"/>
      <c r="E28" s="252">
        <f>E26/2</f>
        <v>0.37568306010928959</v>
      </c>
      <c r="F28" s="252">
        <f>E27+(F26/2)</f>
        <v>1.2513661202185791</v>
      </c>
      <c r="G28" s="252">
        <f t="shared" ref="G28:H28" si="12">F27+(G26/2)</f>
        <v>2.2513661202185791</v>
      </c>
      <c r="H28" s="253">
        <f t="shared" si="12"/>
        <v>3.1263661202185791</v>
      </c>
      <c r="J28" s="119" t="s">
        <v>6</v>
      </c>
      <c r="K28" s="244"/>
      <c r="L28" s="252">
        <f t="shared" si="11"/>
        <v>0.37568306010928959</v>
      </c>
      <c r="M28" s="252">
        <f t="shared" si="7"/>
        <v>1.2513661202185791</v>
      </c>
      <c r="N28" s="252">
        <f t="shared" si="8"/>
        <v>2.2513661202185791</v>
      </c>
      <c r="O28" s="253">
        <f t="shared" si="9"/>
        <v>3.1263661202185791</v>
      </c>
      <c r="S28" s="124" t="s">
        <v>66</v>
      </c>
      <c r="T28" s="39"/>
      <c r="U28" s="39"/>
      <c r="V28" s="40">
        <f>-IRR!G47</f>
        <v>0.03</v>
      </c>
      <c r="W28" s="40">
        <f>-IRR!H47</f>
        <v>0.03</v>
      </c>
      <c r="X28" s="40">
        <f>-IRR!I47</f>
        <v>0.03</v>
      </c>
      <c r="Y28" s="139">
        <f>-IRR!J47</f>
        <v>0.03</v>
      </c>
    </row>
    <row r="29" spans="1:31">
      <c r="B29" s="119" t="s">
        <v>7</v>
      </c>
      <c r="C29" s="254"/>
      <c r="D29" s="131">
        <f>WARA!$E$18</f>
        <v>0.155</v>
      </c>
      <c r="E29" s="255">
        <f>(1+$D$29)^-E28</f>
        <v>0.94730320937616608</v>
      </c>
      <c r="F29" s="255">
        <f>(1+$D$29)^-F28</f>
        <v>0.83500105691918569</v>
      </c>
      <c r="G29" s="255">
        <f>(1+$D$29)^-G28</f>
        <v>0.72294463802526898</v>
      </c>
      <c r="H29" s="256">
        <f>(1+$D$29)^-H28</f>
        <v>0.63730276802327956</v>
      </c>
      <c r="J29" s="119" t="s">
        <v>7</v>
      </c>
      <c r="K29" s="254"/>
      <c r="L29" s="255">
        <f t="shared" si="11"/>
        <v>0.94730320937616608</v>
      </c>
      <c r="M29" s="255">
        <f t="shared" si="7"/>
        <v>0.83500105691918569</v>
      </c>
      <c r="N29" s="255">
        <f t="shared" si="8"/>
        <v>0.72294463802526898</v>
      </c>
      <c r="O29" s="256">
        <f t="shared" si="9"/>
        <v>0.63730276802327956</v>
      </c>
      <c r="S29" s="124" t="s">
        <v>125</v>
      </c>
      <c r="T29" s="39"/>
      <c r="U29" s="39"/>
      <c r="V29" s="40">
        <f>PFI!C32</f>
        <v>0.1</v>
      </c>
      <c r="W29" s="40">
        <f>V29</f>
        <v>0.1</v>
      </c>
      <c r="X29" s="40">
        <f t="shared" ref="X29:Y30" si="13">W29</f>
        <v>0.1</v>
      </c>
      <c r="Y29" s="139">
        <f t="shared" si="13"/>
        <v>0.1</v>
      </c>
    </row>
    <row r="30" spans="1:31" ht="15.75" thickBot="1">
      <c r="B30" s="257" t="s">
        <v>211</v>
      </c>
      <c r="C30" s="259"/>
      <c r="D30" s="260"/>
      <c r="E30" s="261">
        <f>E25*E29</f>
        <v>5556.8406701504409</v>
      </c>
      <c r="F30" s="261">
        <f>F25*F29</f>
        <v>8169.8168436154956</v>
      </c>
      <c r="G30" s="261">
        <f>G25*G29</f>
        <v>7496.9655351953797</v>
      </c>
      <c r="H30" s="262">
        <f>H25*H29</f>
        <v>5883.7828779198453</v>
      </c>
      <c r="J30" s="257" t="s">
        <v>211</v>
      </c>
      <c r="K30" s="259"/>
      <c r="L30" s="261">
        <f>L25*L29</f>
        <v>4890.0197897323878</v>
      </c>
      <c r="M30" s="261">
        <f>M25*M29</f>
        <v>7189.4388223816368</v>
      </c>
      <c r="N30" s="261">
        <f>N25*N29</f>
        <v>6597.3296709719343</v>
      </c>
      <c r="O30" s="262">
        <f>O25*O29</f>
        <v>5177.7289325694637</v>
      </c>
      <c r="S30" s="140" t="s">
        <v>93</v>
      </c>
      <c r="T30" s="265"/>
      <c r="U30" s="265"/>
      <c r="V30" s="141">
        <f>PFI!C31</f>
        <v>0.04</v>
      </c>
      <c r="W30" s="141">
        <f>V30</f>
        <v>0.04</v>
      </c>
      <c r="X30" s="141">
        <f t="shared" si="13"/>
        <v>0.04</v>
      </c>
      <c r="Y30" s="266">
        <f t="shared" si="13"/>
        <v>0.04</v>
      </c>
    </row>
    <row r="31" spans="1:31">
      <c r="A31" s="26"/>
      <c r="B31" s="64"/>
      <c r="C31" s="65"/>
      <c r="D31" s="65"/>
      <c r="E31" s="62"/>
      <c r="F31" s="46"/>
      <c r="G31" s="43"/>
      <c r="H31" s="43"/>
      <c r="O31" s="43"/>
    </row>
    <row r="32" spans="1:31">
      <c r="A32" s="26"/>
      <c r="B32" s="64"/>
      <c r="C32" s="65"/>
      <c r="D32" s="65"/>
      <c r="E32" s="62"/>
      <c r="F32" s="46"/>
      <c r="G32" s="43"/>
      <c r="H32" s="43"/>
      <c r="O32" s="43"/>
    </row>
    <row r="33" spans="1:25">
      <c r="A33" s="26"/>
      <c r="B33" s="64"/>
      <c r="C33" s="65"/>
      <c r="D33" s="65"/>
      <c r="E33" s="62"/>
      <c r="F33" s="46"/>
      <c r="G33" s="43"/>
      <c r="H33" s="43"/>
      <c r="O33" s="43"/>
      <c r="T33" s="43"/>
      <c r="U33" s="43"/>
      <c r="V33" s="43"/>
      <c r="W33" s="43"/>
      <c r="X33" s="43"/>
      <c r="Y33" s="43"/>
    </row>
    <row r="34" spans="1:25">
      <c r="A34" s="26"/>
      <c r="B34" s="55" t="s">
        <v>216</v>
      </c>
      <c r="C34" s="65"/>
      <c r="D34" s="65"/>
      <c r="E34" s="62"/>
      <c r="F34" s="46"/>
      <c r="G34" s="43"/>
      <c r="H34" s="43"/>
      <c r="O34" s="43"/>
      <c r="S34" s="55" t="str">
        <f>B34</f>
        <v>Notes:</v>
      </c>
      <c r="T34" s="43"/>
      <c r="U34" s="43"/>
      <c r="V34" s="43"/>
      <c r="W34" s="43"/>
      <c r="X34" s="43"/>
      <c r="Y34" s="43"/>
    </row>
    <row r="35" spans="1:25">
      <c r="A35" s="26"/>
      <c r="B35" s="55" t="str">
        <f>E10&amp;" Based on discussions with the Management."</f>
        <v>(a) Based on discussions with the Management.</v>
      </c>
      <c r="C35" s="65"/>
      <c r="D35" s="65"/>
      <c r="E35" s="62"/>
      <c r="F35" s="46"/>
      <c r="G35" s="43"/>
      <c r="H35" s="43"/>
      <c r="O35" s="43"/>
      <c r="S35" s="55" t="str">
        <f>B35</f>
        <v>(a) Based on discussions with the Management.</v>
      </c>
    </row>
    <row r="36" spans="1:25">
      <c r="C36" s="43"/>
      <c r="D36" s="43"/>
      <c r="E36" s="43"/>
      <c r="F36" s="43"/>
      <c r="G36" s="43"/>
      <c r="H36" s="43"/>
      <c r="O36" s="43"/>
    </row>
    <row r="37" spans="1:25">
      <c r="A37" s="26"/>
      <c r="B37" s="564"/>
      <c r="C37" s="65"/>
      <c r="D37" s="65"/>
      <c r="E37" s="62"/>
      <c r="F37" s="46"/>
      <c r="G37" s="70"/>
      <c r="H37" s="70"/>
      <c r="O37" s="43"/>
      <c r="R37" t="s">
        <v>105</v>
      </c>
      <c r="T37">
        <v>15</v>
      </c>
    </row>
    <row r="38" spans="1:25">
      <c r="A38" s="26"/>
      <c r="B38" s="48"/>
      <c r="C38" s="68"/>
      <c r="D38" s="69"/>
      <c r="E38" s="63"/>
      <c r="F38" s="63"/>
      <c r="G38" s="63"/>
      <c r="H38" s="63"/>
      <c r="I38" s="26"/>
      <c r="O38" s="63"/>
    </row>
    <row r="39" spans="1:25">
      <c r="B39" s="26"/>
      <c r="C39" s="26"/>
      <c r="D39" s="26"/>
      <c r="E39" s="26"/>
      <c r="F39" s="26"/>
      <c r="G39" s="26"/>
      <c r="H39" s="26"/>
      <c r="O39" s="63"/>
    </row>
    <row r="40" spans="1:25">
      <c r="O40" s="63"/>
    </row>
    <row r="41" spans="1:25">
      <c r="O41" s="42"/>
    </row>
    <row r="42" spans="1:25">
      <c r="O42" s="42"/>
    </row>
    <row r="43" spans="1:25">
      <c r="O43" s="42"/>
    </row>
    <row r="44" spans="1:25">
      <c r="O44" s="3"/>
    </row>
    <row r="45" spans="1:25">
      <c r="O45" s="44"/>
    </row>
    <row r="46" spans="1:25">
      <c r="O46" s="3"/>
    </row>
    <row r="47" spans="1:25">
      <c r="O47" s="44"/>
    </row>
    <row r="48" spans="1:25">
      <c r="A48" s="26"/>
      <c r="O48" s="43"/>
    </row>
    <row r="49" spans="1:19">
      <c r="A49" s="26"/>
      <c r="O49" s="43"/>
    </row>
    <row r="50" spans="1:19">
      <c r="A50" s="26"/>
      <c r="O50" s="43"/>
    </row>
    <row r="51" spans="1:19">
      <c r="O51" s="43"/>
    </row>
    <row r="52" spans="1:19">
      <c r="O52" s="43"/>
      <c r="R52" s="42"/>
      <c r="S52" s="3"/>
    </row>
    <row r="53" spans="1:19">
      <c r="O53" s="54"/>
      <c r="R53" s="42"/>
      <c r="S53" s="42"/>
    </row>
    <row r="54" spans="1:19">
      <c r="O54" s="54"/>
    </row>
    <row r="55" spans="1:19">
      <c r="O55" s="54"/>
    </row>
    <row r="56" spans="1:19">
      <c r="O56" s="54"/>
    </row>
    <row r="57" spans="1:19">
      <c r="O57" s="54"/>
    </row>
    <row r="58" spans="1:19">
      <c r="O58" s="43"/>
    </row>
    <row r="59" spans="1:19">
      <c r="O59" s="43"/>
    </row>
    <row r="60" spans="1:19">
      <c r="O60" s="43"/>
    </row>
    <row r="61" spans="1:19">
      <c r="O61" s="43"/>
    </row>
    <row r="62" spans="1:19">
      <c r="O62" s="43"/>
    </row>
    <row r="63" spans="1:19">
      <c r="O63" s="43"/>
    </row>
    <row r="64" spans="1:19">
      <c r="O64" s="43"/>
    </row>
    <row r="65" spans="2:15">
      <c r="O65" s="43"/>
    </row>
    <row r="66" spans="2:15">
      <c r="C66" s="43"/>
      <c r="D66" s="43"/>
      <c r="E66" s="43"/>
      <c r="F66" s="43"/>
      <c r="G66" s="43"/>
      <c r="H66" s="43"/>
      <c r="O66" s="43"/>
    </row>
    <row r="67" spans="2:15">
      <c r="C67" s="43"/>
      <c r="D67" s="43"/>
      <c r="E67" s="43"/>
      <c r="F67" s="43"/>
      <c r="G67" s="43"/>
      <c r="H67" s="43"/>
      <c r="O67" s="43"/>
    </row>
    <row r="68" spans="2:15">
      <c r="B68" s="43"/>
      <c r="C68" s="43"/>
      <c r="D68" s="43"/>
      <c r="E68" s="43"/>
      <c r="F68" s="43"/>
      <c r="G68" s="43"/>
      <c r="H68" s="43"/>
      <c r="O68" s="43"/>
    </row>
    <row r="69" spans="2:15">
      <c r="B69" s="43"/>
      <c r="C69" s="43"/>
      <c r="D69" s="43"/>
      <c r="E69" s="43"/>
      <c r="F69" s="43"/>
      <c r="G69" s="43"/>
      <c r="H69" s="43"/>
      <c r="O69" s="43"/>
    </row>
  </sheetData>
  <mergeCells count="2">
    <mergeCell ref="F12:G12"/>
    <mergeCell ref="M12:N12"/>
  </mergeCells>
  <pageMargins left="0.5" right="0.5" top="0.5" bottom="0.5" header="0.5" footer="0.5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M57"/>
  <sheetViews>
    <sheetView showGridLines="0" view="pageBreakPreview" zoomScale="80" zoomScaleNormal="100" zoomScaleSheetLayoutView="80" workbookViewId="0"/>
  </sheetViews>
  <sheetFormatPr defaultRowHeight="15" outlineLevelRow="1"/>
  <cols>
    <col min="1" max="1" width="3.5703125" customWidth="1"/>
    <col min="5" max="5" width="7.5703125" customWidth="1"/>
    <col min="6" max="6" width="11" customWidth="1"/>
    <col min="7" max="13" width="10.7109375" customWidth="1"/>
    <col min="14" max="14" width="2.7109375" customWidth="1"/>
    <col min="16" max="16" width="3.5703125" customWidth="1"/>
  </cols>
  <sheetData>
    <row r="1" spans="2:13" ht="15.75">
      <c r="B1" s="18" t="str">
        <f>Acq_name</f>
        <v>[Acq.Co. Holdings Ltd.]</v>
      </c>
      <c r="M1" s="34" t="str">
        <f>"Exhibit: "&amp;INDEX(TOC!$B$5:$E$34,MATCH($B$3,TOC!$E$5:$E$36,0),COLUMNS(TOC!H5))&amp;O1</f>
        <v>Exhibit: M</v>
      </c>
    </row>
    <row r="2" spans="2:13">
      <c r="B2" s="19" t="str">
        <f>Targ_name</f>
        <v>[ABC Corporation]</v>
      </c>
    </row>
    <row r="3" spans="2:13">
      <c r="B3" s="20" t="str">
        <f>TOC!E25</f>
        <v>Developed Technology</v>
      </c>
    </row>
    <row r="4" spans="2:13">
      <c r="B4" s="25" t="str">
        <f>"Valuation as of "&amp;TEXT(Val_date,"DD MMMM YYYY")</f>
        <v>Valuation as of 31 March 2020</v>
      </c>
    </row>
    <row r="5" spans="2:13">
      <c r="B5" s="27" t="str">
        <f>'Key Inputs and Assumptions'!C24</f>
        <v>(in USD ‘000s unless specified otherwise)</v>
      </c>
    </row>
    <row r="6" spans="2:13" ht="15.75" thickBot="1"/>
    <row r="7" spans="2:13" ht="12" customHeight="1">
      <c r="B7" s="777" t="s">
        <v>388</v>
      </c>
      <c r="C7" s="778"/>
      <c r="D7" s="778"/>
      <c r="E7" s="778"/>
      <c r="F7" s="778"/>
      <c r="G7" s="612" t="s">
        <v>128</v>
      </c>
      <c r="H7" s="779" t="s">
        <v>0</v>
      </c>
      <c r="I7" s="779"/>
      <c r="J7" s="779"/>
      <c r="K7" s="779"/>
      <c r="L7" s="779"/>
      <c r="M7" s="780"/>
    </row>
    <row r="8" spans="2:13" ht="12" customHeight="1">
      <c r="B8" s="613"/>
      <c r="C8" s="614"/>
      <c r="D8" s="614"/>
      <c r="E8" s="615"/>
      <c r="F8" s="616"/>
      <c r="G8" s="617">
        <f>'Key Inputs and Assumptions'!C16</f>
        <v>44196</v>
      </c>
      <c r="H8" s="617">
        <f t="shared" ref="H8:L8" si="0">G8+365</f>
        <v>44561</v>
      </c>
      <c r="I8" s="617">
        <f t="shared" si="0"/>
        <v>44926</v>
      </c>
      <c r="J8" s="617">
        <f t="shared" si="0"/>
        <v>45291</v>
      </c>
      <c r="K8" s="617">
        <f t="shared" si="0"/>
        <v>45656</v>
      </c>
      <c r="L8" s="617">
        <f t="shared" si="0"/>
        <v>46021</v>
      </c>
      <c r="M8" s="618">
        <f>EOMONTH(Val_date,12*6)</f>
        <v>46112</v>
      </c>
    </row>
    <row r="9" spans="2:13" ht="12" customHeight="1">
      <c r="B9" s="619" t="s">
        <v>334</v>
      </c>
      <c r="C9" s="620"/>
      <c r="D9" s="620"/>
      <c r="E9" s="620"/>
      <c r="F9" s="621"/>
      <c r="G9" s="622">
        <f>PFI!D11</f>
        <v>16438.18211538461</v>
      </c>
      <c r="H9" s="623">
        <f>PFI!E11</f>
        <v>23190.389576307687</v>
      </c>
      <c r="I9" s="623">
        <f>PFI!F11</f>
        <v>24813.716846649226</v>
      </c>
      <c r="J9" s="623">
        <f>PFI!G11</f>
        <v>26798.814194381164</v>
      </c>
      <c r="K9" s="623">
        <f>PFI!H11</f>
        <v>28942.71932993166</v>
      </c>
      <c r="L9" s="623">
        <f>PFI!I11</f>
        <v>30389.855296428246</v>
      </c>
      <c r="M9" s="624">
        <f>PFI!J11</f>
        <v>31301.550955321094</v>
      </c>
    </row>
    <row r="10" spans="2:13" ht="12" customHeight="1">
      <c r="B10" s="619" t="s">
        <v>335</v>
      </c>
      <c r="C10" s="620"/>
      <c r="D10" s="620"/>
      <c r="E10" s="620"/>
      <c r="F10" s="621"/>
      <c r="G10" s="625">
        <f t="shared" ref="G10:M10" si="1">-G$9*G38</f>
        <v>-1972.5818538461531</v>
      </c>
      <c r="H10" s="625">
        <f t="shared" si="1"/>
        <v>-2782.8467491569222</v>
      </c>
      <c r="I10" s="625">
        <f t="shared" si="1"/>
        <v>-2977.6460215979068</v>
      </c>
      <c r="J10" s="625">
        <f t="shared" si="1"/>
        <v>-3215.8577033257397</v>
      </c>
      <c r="K10" s="625">
        <f t="shared" si="1"/>
        <v>-3473.1263195917991</v>
      </c>
      <c r="L10" s="625">
        <f t="shared" si="1"/>
        <v>-3646.7826355713896</v>
      </c>
      <c r="M10" s="626">
        <f t="shared" si="1"/>
        <v>-3756.1861146385313</v>
      </c>
    </row>
    <row r="11" spans="2:13" ht="12" customHeight="1">
      <c r="B11" s="627" t="s">
        <v>336</v>
      </c>
      <c r="C11" s="628"/>
      <c r="D11" s="628"/>
      <c r="E11" s="628"/>
      <c r="F11" s="629"/>
      <c r="G11" s="630">
        <f>SUM(G9:G10)</f>
        <v>14465.600261538457</v>
      </c>
      <c r="H11" s="630">
        <f t="shared" ref="H11:M11" si="2">SUM(H9:H10)</f>
        <v>20407.542827150766</v>
      </c>
      <c r="I11" s="630">
        <f t="shared" si="2"/>
        <v>21836.07082505132</v>
      </c>
      <c r="J11" s="630">
        <f t="shared" si="2"/>
        <v>23582.956491055425</v>
      </c>
      <c r="K11" s="630">
        <f t="shared" si="2"/>
        <v>25469.59301033986</v>
      </c>
      <c r="L11" s="630">
        <f t="shared" si="2"/>
        <v>26743.072660856858</v>
      </c>
      <c r="M11" s="631">
        <f t="shared" si="2"/>
        <v>27545.364840682563</v>
      </c>
    </row>
    <row r="12" spans="2:13" ht="12" customHeight="1">
      <c r="B12" s="619" t="s">
        <v>207</v>
      </c>
      <c r="C12" s="620"/>
      <c r="D12" s="632"/>
      <c r="E12" s="632"/>
      <c r="F12" s="632"/>
      <c r="G12" s="625">
        <f t="shared" ref="G12:M14" si="3">-G$9*G40</f>
        <v>-4109.5455288461526</v>
      </c>
      <c r="H12" s="625">
        <f t="shared" si="3"/>
        <v>-5797.5973940769218</v>
      </c>
      <c r="I12" s="625">
        <f t="shared" si="3"/>
        <v>-6203.4292116623064</v>
      </c>
      <c r="J12" s="625">
        <f t="shared" si="3"/>
        <v>-6699.7035485952911</v>
      </c>
      <c r="K12" s="625">
        <f t="shared" si="3"/>
        <v>-7235.6798324829151</v>
      </c>
      <c r="L12" s="625">
        <f t="shared" si="3"/>
        <v>-7597.4638241070616</v>
      </c>
      <c r="M12" s="626">
        <f t="shared" si="3"/>
        <v>-7825.3877388302735</v>
      </c>
    </row>
    <row r="13" spans="2:13" ht="12" customHeight="1">
      <c r="B13" s="619" t="s">
        <v>337</v>
      </c>
      <c r="C13" s="620"/>
      <c r="D13" s="620"/>
      <c r="E13" s="620"/>
      <c r="F13" s="621"/>
      <c r="G13" s="625">
        <f t="shared" si="3"/>
        <v>-1643.8182115384611</v>
      </c>
      <c r="H13" s="625">
        <f t="shared" si="3"/>
        <v>-2319.0389576307689</v>
      </c>
      <c r="I13" s="625">
        <f t="shared" si="3"/>
        <v>-2481.3716846649227</v>
      </c>
      <c r="J13" s="625">
        <f t="shared" si="3"/>
        <v>-2679.8814194381166</v>
      </c>
      <c r="K13" s="625">
        <f t="shared" si="3"/>
        <v>-2894.271932993166</v>
      </c>
      <c r="L13" s="625">
        <f t="shared" si="3"/>
        <v>-3038.985529642825</v>
      </c>
      <c r="M13" s="626">
        <f t="shared" si="3"/>
        <v>-3130.1550955321095</v>
      </c>
    </row>
    <row r="14" spans="2:13" ht="12" customHeight="1">
      <c r="B14" s="619" t="s">
        <v>338</v>
      </c>
      <c r="C14" s="620"/>
      <c r="D14" s="620"/>
      <c r="E14" s="620"/>
      <c r="F14" s="621"/>
      <c r="G14" s="625">
        <f t="shared" si="3"/>
        <v>-1643.8182115384611</v>
      </c>
      <c r="H14" s="625">
        <f t="shared" si="3"/>
        <v>-2319.0389576307689</v>
      </c>
      <c r="I14" s="625">
        <f t="shared" si="3"/>
        <v>-2481.3716846649227</v>
      </c>
      <c r="J14" s="625">
        <f t="shared" si="3"/>
        <v>-2679.8814194381166</v>
      </c>
      <c r="K14" s="625">
        <f t="shared" si="3"/>
        <v>-2894.271932993166</v>
      </c>
      <c r="L14" s="625">
        <f t="shared" si="3"/>
        <v>-3038.985529642825</v>
      </c>
      <c r="M14" s="626">
        <f t="shared" si="3"/>
        <v>-3130.1550955321095</v>
      </c>
    </row>
    <row r="15" spans="2:13" ht="12" customHeight="1">
      <c r="B15" s="627" t="s">
        <v>65</v>
      </c>
      <c r="C15" s="628"/>
      <c r="D15" s="620"/>
      <c r="E15" s="620"/>
      <c r="F15" s="621"/>
      <c r="G15" s="633">
        <f t="shared" ref="G15:M15" si="4">SUM(G11:G14)</f>
        <v>7068.4183096153829</v>
      </c>
      <c r="H15" s="633">
        <f t="shared" si="4"/>
        <v>9971.8675178123085</v>
      </c>
      <c r="I15" s="633">
        <f t="shared" si="4"/>
        <v>10669.898244059168</v>
      </c>
      <c r="J15" s="633">
        <f t="shared" si="4"/>
        <v>11523.490103583903</v>
      </c>
      <c r="K15" s="633">
        <f t="shared" si="4"/>
        <v>12445.369311870614</v>
      </c>
      <c r="L15" s="633">
        <f t="shared" si="4"/>
        <v>13067.637777464148</v>
      </c>
      <c r="M15" s="634">
        <f t="shared" si="4"/>
        <v>13459.666910788068</v>
      </c>
    </row>
    <row r="16" spans="2:13" ht="12" customHeight="1">
      <c r="B16" s="635" t="s">
        <v>127</v>
      </c>
      <c r="C16" s="632"/>
      <c r="D16" s="620"/>
      <c r="E16" s="620"/>
      <c r="F16" s="621"/>
      <c r="G16" s="625">
        <f t="shared" ref="G16:M16" si="5">-G$9*G44</f>
        <v>-493.14546346153827</v>
      </c>
      <c r="H16" s="625">
        <f t="shared" si="5"/>
        <v>-695.71168728923055</v>
      </c>
      <c r="I16" s="625">
        <f t="shared" si="5"/>
        <v>-744.41150539947671</v>
      </c>
      <c r="J16" s="625">
        <f t="shared" si="5"/>
        <v>-803.96442583143494</v>
      </c>
      <c r="K16" s="625">
        <f t="shared" si="5"/>
        <v>-868.28157989794977</v>
      </c>
      <c r="L16" s="625">
        <f t="shared" si="5"/>
        <v>-911.6956588928474</v>
      </c>
      <c r="M16" s="626">
        <f t="shared" si="5"/>
        <v>-939.04652865963283</v>
      </c>
    </row>
    <row r="17" spans="2:13" ht="12" customHeight="1">
      <c r="B17" s="627" t="s">
        <v>68</v>
      </c>
      <c r="C17" s="620"/>
      <c r="D17" s="620"/>
      <c r="E17" s="620"/>
      <c r="F17" s="621"/>
      <c r="G17" s="633">
        <f>SUM(G15:G16)</f>
        <v>6575.2728461538445</v>
      </c>
      <c r="H17" s="633">
        <f t="shared" ref="H17:M17" si="6">SUM(H15:H16)</f>
        <v>9276.1558305230774</v>
      </c>
      <c r="I17" s="633">
        <f t="shared" si="6"/>
        <v>9925.4867386596907</v>
      </c>
      <c r="J17" s="633">
        <f t="shared" si="6"/>
        <v>10719.525677752468</v>
      </c>
      <c r="K17" s="633">
        <f t="shared" si="6"/>
        <v>11577.087731972664</v>
      </c>
      <c r="L17" s="633">
        <f t="shared" si="6"/>
        <v>12155.9421185713</v>
      </c>
      <c r="M17" s="634">
        <f t="shared" si="6"/>
        <v>12520.620382128434</v>
      </c>
    </row>
    <row r="18" spans="2:13" ht="12" customHeight="1">
      <c r="B18" s="635" t="s">
        <v>377</v>
      </c>
      <c r="C18" s="632"/>
      <c r="D18" s="620"/>
      <c r="E18" s="620"/>
      <c r="F18" s="636">
        <f>'Trade Name and Trademarks'!$F$10</f>
        <v>3.5000000000000003E-2</v>
      </c>
      <c r="G18" s="625">
        <f>-$F$18*G17</f>
        <v>-230.13454961538457</v>
      </c>
      <c r="H18" s="625">
        <f t="shared" ref="H18:M18" si="7">-$F$18*H17</f>
        <v>-324.66545406830772</v>
      </c>
      <c r="I18" s="625">
        <f t="shared" si="7"/>
        <v>-347.39203585308923</v>
      </c>
      <c r="J18" s="625">
        <f t="shared" si="7"/>
        <v>-375.1833987213364</v>
      </c>
      <c r="K18" s="625">
        <f t="shared" si="7"/>
        <v>-405.19807061904328</v>
      </c>
      <c r="L18" s="625">
        <f t="shared" si="7"/>
        <v>-425.45797414999555</v>
      </c>
      <c r="M18" s="626">
        <f t="shared" si="7"/>
        <v>-438.22171337449527</v>
      </c>
    </row>
    <row r="19" spans="2:13" ht="12" customHeight="1">
      <c r="B19" s="627" t="s">
        <v>376</v>
      </c>
      <c r="C19" s="620"/>
      <c r="D19" s="637"/>
      <c r="E19" s="638"/>
      <c r="F19" s="639"/>
      <c r="G19" s="640">
        <f>SUM(G17:G18)</f>
        <v>6345.1382965384601</v>
      </c>
      <c r="H19" s="640">
        <f t="shared" ref="H19:M19" si="8">SUM(H17:H18)</f>
        <v>8951.4903764547689</v>
      </c>
      <c r="I19" s="640">
        <f t="shared" si="8"/>
        <v>9578.0947028066021</v>
      </c>
      <c r="J19" s="640">
        <f t="shared" si="8"/>
        <v>10344.342279031132</v>
      </c>
      <c r="K19" s="640">
        <f t="shared" si="8"/>
        <v>11171.889661353622</v>
      </c>
      <c r="L19" s="640">
        <f t="shared" si="8"/>
        <v>11730.484144421305</v>
      </c>
      <c r="M19" s="641">
        <f t="shared" si="8"/>
        <v>12082.39866875394</v>
      </c>
    </row>
    <row r="20" spans="2:13" ht="12" customHeight="1">
      <c r="B20" s="635" t="s">
        <v>167</v>
      </c>
      <c r="C20" s="620"/>
      <c r="D20" s="620"/>
      <c r="E20" s="620"/>
      <c r="F20" s="636">
        <f>tax_rate</f>
        <v>0.26140000000000002</v>
      </c>
      <c r="G20" s="642">
        <f>-$F$20*G19</f>
        <v>-1658.6191507151536</v>
      </c>
      <c r="H20" s="642">
        <f t="shared" ref="H20:M20" si="9">-$F$20*H19</f>
        <v>-2339.919584405277</v>
      </c>
      <c r="I20" s="642">
        <f t="shared" si="9"/>
        <v>-2503.7139553136458</v>
      </c>
      <c r="J20" s="642">
        <f t="shared" si="9"/>
        <v>-2704.0110717387383</v>
      </c>
      <c r="K20" s="642">
        <f t="shared" si="9"/>
        <v>-2920.331957477837</v>
      </c>
      <c r="L20" s="642">
        <f t="shared" si="9"/>
        <v>-3066.3485553517294</v>
      </c>
      <c r="M20" s="643">
        <f t="shared" si="9"/>
        <v>-3158.3390120122804</v>
      </c>
    </row>
    <row r="21" spans="2:13" ht="12" customHeight="1">
      <c r="B21" s="627" t="s">
        <v>70</v>
      </c>
      <c r="C21" s="620"/>
      <c r="D21" s="637"/>
      <c r="E21" s="638"/>
      <c r="F21" s="639"/>
      <c r="G21" s="640">
        <f>SUM(G19:G20)</f>
        <v>4686.5191458233066</v>
      </c>
      <c r="H21" s="640">
        <f t="shared" ref="H21:M21" si="10">SUM(H19:H20)</f>
        <v>6611.5707920494915</v>
      </c>
      <c r="I21" s="640">
        <f t="shared" si="10"/>
        <v>7074.3807474929563</v>
      </c>
      <c r="J21" s="640">
        <f t="shared" si="10"/>
        <v>7640.3312072923945</v>
      </c>
      <c r="K21" s="640">
        <f t="shared" si="10"/>
        <v>8251.5577038757838</v>
      </c>
      <c r="L21" s="640">
        <f t="shared" si="10"/>
        <v>8664.1355890695759</v>
      </c>
      <c r="M21" s="641">
        <f t="shared" si="10"/>
        <v>8924.0596567416596</v>
      </c>
    </row>
    <row r="22" spans="2:13" ht="12" customHeight="1">
      <c r="B22" s="635" t="s">
        <v>110</v>
      </c>
      <c r="C22" s="620"/>
      <c r="D22" s="637"/>
      <c r="E22" s="638"/>
      <c r="F22" s="621"/>
      <c r="G22" s="623">
        <f>-G16</f>
        <v>493.14546346153827</v>
      </c>
      <c r="H22" s="623">
        <f t="shared" ref="H22:M22" si="11">-H16</f>
        <v>695.71168728923055</v>
      </c>
      <c r="I22" s="623">
        <f t="shared" si="11"/>
        <v>744.41150539947671</v>
      </c>
      <c r="J22" s="623">
        <f t="shared" si="11"/>
        <v>803.96442583143494</v>
      </c>
      <c r="K22" s="623">
        <f t="shared" si="11"/>
        <v>868.28157989794977</v>
      </c>
      <c r="L22" s="623">
        <f t="shared" si="11"/>
        <v>911.6956588928474</v>
      </c>
      <c r="M22" s="624">
        <f t="shared" si="11"/>
        <v>939.04652865963283</v>
      </c>
    </row>
    <row r="23" spans="2:13" ht="12" customHeight="1">
      <c r="B23" s="635" t="s">
        <v>168</v>
      </c>
      <c r="C23" s="620"/>
      <c r="D23" s="620"/>
      <c r="E23" s="620"/>
      <c r="F23" s="621"/>
      <c r="G23" s="625">
        <f>-G$9*G46</f>
        <v>-1114.4113429734296</v>
      </c>
      <c r="H23" s="625">
        <f t="shared" ref="H23:M23" si="12">-H$9*H46</f>
        <v>-1572.170998618079</v>
      </c>
      <c r="I23" s="625">
        <f t="shared" si="12"/>
        <v>-1682.2229685213447</v>
      </c>
      <c r="J23" s="625">
        <f t="shared" si="12"/>
        <v>-1816.8008060030522</v>
      </c>
      <c r="K23" s="625">
        <f t="shared" si="12"/>
        <v>-1962.1448704832967</v>
      </c>
      <c r="L23" s="625">
        <f t="shared" si="12"/>
        <v>-2060.2521140074618</v>
      </c>
      <c r="M23" s="626">
        <f t="shared" si="12"/>
        <v>-2122.0596774276855</v>
      </c>
    </row>
    <row r="24" spans="2:13" ht="12" customHeight="1">
      <c r="B24" s="644" t="s">
        <v>4</v>
      </c>
      <c r="C24" s="645"/>
      <c r="D24" s="645"/>
      <c r="E24" s="646"/>
      <c r="F24" s="646"/>
      <c r="G24" s="647">
        <f t="shared" ref="G24:M24" si="13">SUM(G21:G23)</f>
        <v>4065.2532663114152</v>
      </c>
      <c r="H24" s="647">
        <f t="shared" si="13"/>
        <v>5735.1114807206432</v>
      </c>
      <c r="I24" s="647">
        <f t="shared" si="13"/>
        <v>6136.5692843710876</v>
      </c>
      <c r="J24" s="647">
        <f t="shared" si="13"/>
        <v>6627.4948271207768</v>
      </c>
      <c r="K24" s="647">
        <f t="shared" si="13"/>
        <v>7157.6944132904373</v>
      </c>
      <c r="L24" s="647">
        <f t="shared" si="13"/>
        <v>7515.5791339549614</v>
      </c>
      <c r="M24" s="648">
        <f t="shared" si="13"/>
        <v>7741.0465079736077</v>
      </c>
    </row>
    <row r="25" spans="2:13" ht="2.1" customHeight="1">
      <c r="B25" s="649"/>
      <c r="C25" s="632"/>
      <c r="D25" s="632"/>
      <c r="E25" s="650"/>
      <c r="F25" s="650"/>
      <c r="G25" s="651"/>
      <c r="H25" s="651"/>
      <c r="I25" s="651"/>
      <c r="J25" s="651"/>
      <c r="K25" s="651"/>
      <c r="L25" s="651"/>
      <c r="M25" s="652"/>
    </row>
    <row r="26" spans="2:13" ht="12" customHeight="1">
      <c r="B26" s="619" t="s">
        <v>5</v>
      </c>
      <c r="C26" s="620"/>
      <c r="D26" s="632"/>
      <c r="E26" s="650"/>
      <c r="F26" s="650"/>
      <c r="G26" s="653">
        <f>stub</f>
        <v>0.75136612021857918</v>
      </c>
      <c r="H26" s="653">
        <f t="shared" ref="H26:M26" si="14">YEARFRAC(G8,H8,0)</f>
        <v>1</v>
      </c>
      <c r="I26" s="653">
        <f t="shared" si="14"/>
        <v>1</v>
      </c>
      <c r="J26" s="653">
        <f t="shared" si="14"/>
        <v>1</v>
      </c>
      <c r="K26" s="653">
        <f t="shared" si="14"/>
        <v>1</v>
      </c>
      <c r="L26" s="653">
        <f t="shared" si="14"/>
        <v>1</v>
      </c>
      <c r="M26" s="654">
        <f t="shared" si="14"/>
        <v>0.25</v>
      </c>
    </row>
    <row r="27" spans="2:13" hidden="1" outlineLevel="1">
      <c r="B27" s="619" t="s">
        <v>96</v>
      </c>
      <c r="C27" s="620"/>
      <c r="D27" s="632"/>
      <c r="E27" s="650"/>
      <c r="F27" s="650"/>
      <c r="G27" s="651">
        <f>G26</f>
        <v>0.75136612021857918</v>
      </c>
      <c r="H27" s="651">
        <f>H26+G27</f>
        <v>1.7513661202185791</v>
      </c>
      <c r="I27" s="651">
        <f t="shared" ref="I27:M27" si="15">I26+H27</f>
        <v>2.7513661202185791</v>
      </c>
      <c r="J27" s="651">
        <f t="shared" si="15"/>
        <v>3.7513661202185791</v>
      </c>
      <c r="K27" s="651">
        <f t="shared" si="15"/>
        <v>4.7513661202185791</v>
      </c>
      <c r="L27" s="651">
        <f t="shared" si="15"/>
        <v>5.7513661202185791</v>
      </c>
      <c r="M27" s="652">
        <f t="shared" si="15"/>
        <v>6.0013661202185791</v>
      </c>
    </row>
    <row r="28" spans="2:13" hidden="1" outlineLevel="1">
      <c r="B28" s="619" t="s">
        <v>6</v>
      </c>
      <c r="C28" s="620"/>
      <c r="D28" s="632"/>
      <c r="E28" s="650"/>
      <c r="F28" s="650"/>
      <c r="G28" s="651">
        <f>G26/2</f>
        <v>0.37568306010928959</v>
      </c>
      <c r="H28" s="651">
        <f>G27+(H26/2)</f>
        <v>1.2513661202185791</v>
      </c>
      <c r="I28" s="651">
        <f t="shared" ref="I28:M28" si="16">H27+(I26/2)</f>
        <v>2.2513661202185791</v>
      </c>
      <c r="J28" s="651">
        <f t="shared" si="16"/>
        <v>3.2513661202185791</v>
      </c>
      <c r="K28" s="651">
        <f t="shared" si="16"/>
        <v>4.2513661202185791</v>
      </c>
      <c r="L28" s="651">
        <f t="shared" si="16"/>
        <v>5.2513661202185791</v>
      </c>
      <c r="M28" s="652">
        <f t="shared" si="16"/>
        <v>5.8763661202185791</v>
      </c>
    </row>
    <row r="29" spans="2:13" ht="12" customHeight="1" collapsed="1">
      <c r="B29" s="619" t="s">
        <v>7</v>
      </c>
      <c r="C29" s="620"/>
      <c r="D29" s="632"/>
      <c r="E29" s="638"/>
      <c r="F29" s="636">
        <f>WARA!E17</f>
        <v>0.155</v>
      </c>
      <c r="G29" s="655">
        <f t="shared" ref="G29:M29" si="17">(1+$F$29)^-G28</f>
        <v>0.94730320937616608</v>
      </c>
      <c r="H29" s="655">
        <f t="shared" si="17"/>
        <v>0.83500105691918569</v>
      </c>
      <c r="I29" s="655">
        <f t="shared" si="17"/>
        <v>0.72294463802526898</v>
      </c>
      <c r="J29" s="655">
        <f t="shared" si="17"/>
        <v>0.62592609352837147</v>
      </c>
      <c r="K29" s="655">
        <f t="shared" si="17"/>
        <v>0.54192735370421763</v>
      </c>
      <c r="L29" s="655">
        <f t="shared" si="17"/>
        <v>0.46920117203828365</v>
      </c>
      <c r="M29" s="656">
        <f t="shared" si="17"/>
        <v>0.42879069084718374</v>
      </c>
    </row>
    <row r="30" spans="2:13" ht="12" customHeight="1">
      <c r="B30" s="644" t="s">
        <v>8</v>
      </c>
      <c r="C30" s="645"/>
      <c r="D30" s="645"/>
      <c r="E30" s="646"/>
      <c r="F30" s="657"/>
      <c r="G30" s="647">
        <f>G29*G24</f>
        <v>3851.0274661037456</v>
      </c>
      <c r="H30" s="647">
        <f t="shared" ref="H30:L30" si="18">H29*H24*H26</f>
        <v>4788.8241479510934</v>
      </c>
      <c r="I30" s="647">
        <f t="shared" si="18"/>
        <v>4436.3998600066398</v>
      </c>
      <c r="J30" s="647">
        <f t="shared" si="18"/>
        <v>4148.3219470191971</v>
      </c>
      <c r="K30" s="647">
        <f t="shared" si="18"/>
        <v>3878.9503920179491</v>
      </c>
      <c r="L30" s="647">
        <f t="shared" si="18"/>
        <v>3526.3185381981366</v>
      </c>
      <c r="M30" s="648">
        <f>M29*M24*M26</f>
        <v>829.82217000854564</v>
      </c>
    </row>
    <row r="31" spans="2:13" ht="2.1" customHeight="1" thickBot="1">
      <c r="B31" s="658"/>
      <c r="C31" s="659"/>
      <c r="D31" s="659"/>
      <c r="E31" s="659"/>
      <c r="F31" s="659"/>
      <c r="G31" s="659"/>
      <c r="H31" s="659"/>
      <c r="I31" s="659"/>
      <c r="J31" s="659"/>
      <c r="K31" s="659"/>
      <c r="L31" s="659"/>
      <c r="M31" s="660"/>
    </row>
    <row r="32" spans="2:13" ht="12" customHeight="1">
      <c r="B32" s="661" t="s">
        <v>8</v>
      </c>
      <c r="C32" s="662"/>
      <c r="D32" s="662"/>
      <c r="E32" s="662"/>
      <c r="F32" s="662"/>
      <c r="G32" s="663">
        <f>SUM(G30:M30)</f>
        <v>25459.664521305309</v>
      </c>
      <c r="H32" s="664"/>
      <c r="I32" s="664"/>
      <c r="J32" s="664"/>
      <c r="K32" s="664"/>
      <c r="L32" s="664"/>
      <c r="M32" s="664"/>
    </row>
    <row r="33" spans="2:13" ht="12" customHeight="1">
      <c r="B33" s="665" t="s">
        <v>103</v>
      </c>
      <c r="C33" s="666"/>
      <c r="D33" s="666"/>
      <c r="E33" s="666"/>
      <c r="F33" s="666"/>
      <c r="G33" s="667">
        <f>G32*($D$49/($D$49-((PV($F$29,$D$49,-1)*(1+$F$29)^0.5)*$F$20))-1)</f>
        <v>3047.9145868804608</v>
      </c>
      <c r="H33" s="664"/>
      <c r="I33" s="664"/>
      <c r="J33" s="664"/>
      <c r="K33" s="664"/>
      <c r="L33" s="664"/>
      <c r="M33" s="664"/>
    </row>
    <row r="34" spans="2:13" ht="12" customHeight="1" thickBot="1">
      <c r="B34" s="668" t="s">
        <v>104</v>
      </c>
      <c r="C34" s="669"/>
      <c r="D34" s="669"/>
      <c r="E34" s="669"/>
      <c r="F34" s="669"/>
      <c r="G34" s="670">
        <f>ROUND(SUM(G32:G33),0)</f>
        <v>28508</v>
      </c>
      <c r="H34" s="671"/>
      <c r="I34" s="671"/>
      <c r="J34" s="664"/>
      <c r="K34" s="664"/>
      <c r="L34" s="664"/>
      <c r="M34" s="664"/>
    </row>
    <row r="35" spans="2:13" ht="6.75" customHeight="1" thickBot="1">
      <c r="B35" s="672"/>
      <c r="C35" s="672"/>
      <c r="D35" s="672"/>
      <c r="E35" s="672"/>
      <c r="F35" s="672"/>
      <c r="G35" s="672"/>
      <c r="H35" s="672"/>
      <c r="I35" s="672"/>
      <c r="J35" s="664"/>
      <c r="K35" s="664"/>
      <c r="L35" s="664"/>
      <c r="M35" s="664"/>
    </row>
    <row r="36" spans="2:13" ht="12" customHeight="1">
      <c r="B36" s="673" t="s">
        <v>122</v>
      </c>
      <c r="C36" s="674"/>
      <c r="D36" s="674"/>
      <c r="E36" s="674"/>
      <c r="F36" s="674"/>
      <c r="G36" s="674">
        <f>G8</f>
        <v>44196</v>
      </c>
      <c r="H36" s="674">
        <f t="shared" ref="H36:M36" si="19">H8</f>
        <v>44561</v>
      </c>
      <c r="I36" s="674">
        <f t="shared" si="19"/>
        <v>44926</v>
      </c>
      <c r="J36" s="674">
        <f t="shared" si="19"/>
        <v>45291</v>
      </c>
      <c r="K36" s="674">
        <f t="shared" si="19"/>
        <v>45656</v>
      </c>
      <c r="L36" s="674">
        <f t="shared" si="19"/>
        <v>46021</v>
      </c>
      <c r="M36" s="675">
        <f t="shared" si="19"/>
        <v>46112</v>
      </c>
    </row>
    <row r="37" spans="2:13" ht="12" customHeight="1">
      <c r="B37" s="665" t="s">
        <v>72</v>
      </c>
      <c r="C37" s="666"/>
      <c r="D37" s="676"/>
      <c r="E37" s="676"/>
      <c r="F37" s="676"/>
      <c r="G37" s="677" t="s">
        <v>78</v>
      </c>
      <c r="H37" s="678">
        <f>(H9/(G9/stub))-1</f>
        <v>6.0000000000000053E-2</v>
      </c>
      <c r="I37" s="678">
        <f>I9/H9-1</f>
        <v>7.0000000000000062E-2</v>
      </c>
      <c r="J37" s="678">
        <f t="shared" ref="J37:M37" si="20">J9/I9-1</f>
        <v>8.0000000000000071E-2</v>
      </c>
      <c r="K37" s="678">
        <f t="shared" si="20"/>
        <v>8.0000000000000071E-2</v>
      </c>
      <c r="L37" s="678">
        <f t="shared" si="20"/>
        <v>5.0000000000000044E-2</v>
      </c>
      <c r="M37" s="679">
        <f t="shared" si="20"/>
        <v>3.0000000000000027E-2</v>
      </c>
    </row>
    <row r="38" spans="2:13" ht="12" customHeight="1">
      <c r="B38" s="665" t="s">
        <v>132</v>
      </c>
      <c r="C38" s="666"/>
      <c r="D38" s="676"/>
      <c r="E38" s="676"/>
      <c r="F38" s="676"/>
      <c r="G38" s="678">
        <f>PFI!P11</f>
        <v>0.12</v>
      </c>
      <c r="H38" s="678">
        <f>PFI!Q11</f>
        <v>0.12</v>
      </c>
      <c r="I38" s="678">
        <f>PFI!R11</f>
        <v>0.12</v>
      </c>
      <c r="J38" s="678">
        <f>PFI!S11</f>
        <v>0.12</v>
      </c>
      <c r="K38" s="678">
        <f>PFI!T11</f>
        <v>0.12</v>
      </c>
      <c r="L38" s="678">
        <f>PFI!U11</f>
        <v>0.12</v>
      </c>
      <c r="M38" s="679">
        <f>PFI!V11</f>
        <v>0.12</v>
      </c>
    </row>
    <row r="39" spans="2:13" ht="12" customHeight="1">
      <c r="B39" s="665" t="s">
        <v>339</v>
      </c>
      <c r="C39" s="666"/>
      <c r="D39" s="676"/>
      <c r="E39" s="676"/>
      <c r="F39" s="676"/>
      <c r="G39" s="678">
        <f t="shared" ref="G39:M39" si="21">G11/G$9</f>
        <v>0.88</v>
      </c>
      <c r="H39" s="678">
        <f t="shared" si="21"/>
        <v>0.88000000000000012</v>
      </c>
      <c r="I39" s="678">
        <f t="shared" si="21"/>
        <v>0.88</v>
      </c>
      <c r="J39" s="678">
        <f t="shared" si="21"/>
        <v>0.88</v>
      </c>
      <c r="K39" s="678">
        <f t="shared" si="21"/>
        <v>0.88</v>
      </c>
      <c r="L39" s="678">
        <f t="shared" si="21"/>
        <v>0.88</v>
      </c>
      <c r="M39" s="679">
        <f t="shared" si="21"/>
        <v>0.88</v>
      </c>
    </row>
    <row r="40" spans="2:13" ht="12" customHeight="1">
      <c r="B40" s="665" t="s">
        <v>207</v>
      </c>
      <c r="C40" s="666"/>
      <c r="D40" s="676"/>
      <c r="E40" s="676"/>
      <c r="F40" s="676"/>
      <c r="G40" s="678">
        <f>PFI!P12</f>
        <v>0.25</v>
      </c>
      <c r="H40" s="678">
        <f>PFI!Q12</f>
        <v>0.25</v>
      </c>
      <c r="I40" s="678">
        <f>PFI!R12</f>
        <v>0.25</v>
      </c>
      <c r="J40" s="678">
        <f>PFI!S12</f>
        <v>0.25</v>
      </c>
      <c r="K40" s="678">
        <f>PFI!T12</f>
        <v>0.25</v>
      </c>
      <c r="L40" s="678">
        <f>PFI!U12</f>
        <v>0.25</v>
      </c>
      <c r="M40" s="679">
        <f>PFI!V12</f>
        <v>0.25</v>
      </c>
    </row>
    <row r="41" spans="2:13" ht="12" customHeight="1">
      <c r="B41" s="665" t="s">
        <v>337</v>
      </c>
      <c r="C41" s="666"/>
      <c r="D41" s="676"/>
      <c r="E41" s="676"/>
      <c r="F41" s="676"/>
      <c r="G41" s="678">
        <f>PFI!P13</f>
        <v>0.1</v>
      </c>
      <c r="H41" s="678">
        <f>PFI!Q13</f>
        <v>0.1</v>
      </c>
      <c r="I41" s="678">
        <f>PFI!R13</f>
        <v>0.1</v>
      </c>
      <c r="J41" s="678">
        <f>PFI!S13</f>
        <v>0.1</v>
      </c>
      <c r="K41" s="678">
        <f>PFI!T13</f>
        <v>0.1</v>
      </c>
      <c r="L41" s="678">
        <f>PFI!U13</f>
        <v>0.1</v>
      </c>
      <c r="M41" s="679">
        <f>PFI!V13</f>
        <v>0.1</v>
      </c>
    </row>
    <row r="42" spans="2:13" ht="12" customHeight="1">
      <c r="B42" s="665" t="s">
        <v>338</v>
      </c>
      <c r="C42" s="666"/>
      <c r="D42" s="676"/>
      <c r="E42" s="676"/>
      <c r="F42" s="676"/>
      <c r="G42" s="678">
        <f>PFI!P14</f>
        <v>0.1</v>
      </c>
      <c r="H42" s="678">
        <f>PFI!Q14</f>
        <v>0.1</v>
      </c>
      <c r="I42" s="678">
        <f>PFI!R14</f>
        <v>0.1</v>
      </c>
      <c r="J42" s="678">
        <f>PFI!S14</f>
        <v>0.1</v>
      </c>
      <c r="K42" s="678">
        <f>PFI!T14</f>
        <v>0.1</v>
      </c>
      <c r="L42" s="678">
        <f>PFI!U14</f>
        <v>0.1</v>
      </c>
      <c r="M42" s="679">
        <f>PFI!V14</f>
        <v>0.1</v>
      </c>
    </row>
    <row r="43" spans="2:13" ht="12" customHeight="1">
      <c r="B43" s="665" t="s">
        <v>74</v>
      </c>
      <c r="C43" s="666"/>
      <c r="D43" s="676"/>
      <c r="E43" s="676"/>
      <c r="F43" s="676"/>
      <c r="G43" s="678">
        <f t="shared" ref="G43:M43" si="22">G15/G$9</f>
        <v>0.43000000000000005</v>
      </c>
      <c r="H43" s="678">
        <f t="shared" si="22"/>
        <v>0.4300000000000001</v>
      </c>
      <c r="I43" s="678">
        <f t="shared" si="22"/>
        <v>0.43000000000000005</v>
      </c>
      <c r="J43" s="678">
        <f t="shared" si="22"/>
        <v>0.4300000000000001</v>
      </c>
      <c r="K43" s="678">
        <f t="shared" si="22"/>
        <v>0.43</v>
      </c>
      <c r="L43" s="678">
        <f t="shared" si="22"/>
        <v>0.43000000000000005</v>
      </c>
      <c r="M43" s="679">
        <f t="shared" si="22"/>
        <v>0.42999999999999994</v>
      </c>
    </row>
    <row r="44" spans="2:13" ht="12" customHeight="1">
      <c r="B44" s="665" t="s">
        <v>66</v>
      </c>
      <c r="C44" s="666"/>
      <c r="D44" s="676"/>
      <c r="E44" s="676"/>
      <c r="F44" s="676"/>
      <c r="G44" s="678">
        <f>PFI!P15</f>
        <v>0.03</v>
      </c>
      <c r="H44" s="678">
        <f>PFI!Q15</f>
        <v>0.03</v>
      </c>
      <c r="I44" s="678">
        <f>PFI!R15</f>
        <v>0.03</v>
      </c>
      <c r="J44" s="678">
        <f>PFI!S15</f>
        <v>0.03</v>
      </c>
      <c r="K44" s="678">
        <f>PFI!T15</f>
        <v>0.03</v>
      </c>
      <c r="L44" s="678">
        <f>PFI!U15</f>
        <v>0.03</v>
      </c>
      <c r="M44" s="679">
        <f>PFI!V15</f>
        <v>0.03</v>
      </c>
    </row>
    <row r="45" spans="2:13" ht="12" customHeight="1">
      <c r="B45" s="665" t="s">
        <v>75</v>
      </c>
      <c r="C45" s="666"/>
      <c r="D45" s="676"/>
      <c r="E45" s="676"/>
      <c r="F45" s="676"/>
      <c r="G45" s="678">
        <f t="shared" ref="G45:M45" si="23">G17/G$9</f>
        <v>0.4</v>
      </c>
      <c r="H45" s="678">
        <f t="shared" si="23"/>
        <v>0.40000000000000013</v>
      </c>
      <c r="I45" s="678">
        <f t="shared" si="23"/>
        <v>0.4</v>
      </c>
      <c r="J45" s="678">
        <f t="shared" si="23"/>
        <v>0.40000000000000008</v>
      </c>
      <c r="K45" s="678">
        <f t="shared" si="23"/>
        <v>0.4</v>
      </c>
      <c r="L45" s="678">
        <f t="shared" si="23"/>
        <v>0.4</v>
      </c>
      <c r="M45" s="679">
        <f t="shared" si="23"/>
        <v>0.39999999999999991</v>
      </c>
    </row>
    <row r="46" spans="2:13" ht="12" customHeight="1" thickBot="1">
      <c r="B46" s="658" t="s">
        <v>341</v>
      </c>
      <c r="C46" s="659"/>
      <c r="D46" s="680"/>
      <c r="E46" s="680"/>
      <c r="F46" s="680"/>
      <c r="G46" s="681">
        <f>CAC!E44</f>
        <v>6.7794074499907389E-2</v>
      </c>
      <c r="H46" s="681">
        <f>G46</f>
        <v>6.7794074499907389E-2</v>
      </c>
      <c r="I46" s="681">
        <f t="shared" ref="I46:M46" si="24">H46</f>
        <v>6.7794074499907389E-2</v>
      </c>
      <c r="J46" s="681">
        <f t="shared" si="24"/>
        <v>6.7794074499907389E-2</v>
      </c>
      <c r="K46" s="681">
        <f t="shared" si="24"/>
        <v>6.7794074499907389E-2</v>
      </c>
      <c r="L46" s="681">
        <f t="shared" si="24"/>
        <v>6.7794074499907389E-2</v>
      </c>
      <c r="M46" s="682">
        <f t="shared" si="24"/>
        <v>6.7794074499907389E-2</v>
      </c>
    </row>
    <row r="47" spans="2:13" ht="12.95" customHeight="1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spans="2:13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2:13">
      <c r="B49" t="s">
        <v>105</v>
      </c>
      <c r="D49">
        <v>15</v>
      </c>
      <c r="E49" s="43"/>
      <c r="F49" s="43"/>
      <c r="G49" s="43"/>
      <c r="H49" s="43"/>
      <c r="I49" s="43"/>
      <c r="J49" s="43"/>
      <c r="K49" s="43"/>
      <c r="L49" s="43"/>
      <c r="M49" s="43"/>
    </row>
    <row r="50" spans="2:13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spans="2:13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spans="2:13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spans="2:13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spans="2:13"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spans="2:13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spans="2:13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spans="2:13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</sheetData>
  <mergeCells count="2">
    <mergeCell ref="B7:F7"/>
    <mergeCell ref="H7:M7"/>
  </mergeCells>
  <pageMargins left="0.5" right="0.5" top="0.5" bottom="0.5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O46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0.7109375" customWidth="1"/>
    <col min="3" max="3" width="6.7109375" customWidth="1"/>
    <col min="4" max="4" width="14.85546875" customWidth="1"/>
    <col min="5" max="5" width="13.140625" customWidth="1"/>
    <col min="6" max="10" width="13" customWidth="1"/>
    <col min="11" max="11" width="2.7109375" customWidth="1"/>
  </cols>
  <sheetData>
    <row r="1" spans="2:15" ht="15.75">
      <c r="B1" s="18" t="str">
        <f>Acq_name</f>
        <v>[Acq.Co. Holdings Ltd.]</v>
      </c>
      <c r="J1" s="34" t="str">
        <f>"Exhibit: "&amp;INDEX(TOC!$B$5:$E$34,MATCH($B$3,TOC!$E$5:$E$36,0),COLUMNS(TOC!F5))&amp;L1</f>
        <v>Exhibit: N</v>
      </c>
    </row>
    <row r="2" spans="2:15">
      <c r="B2" s="19" t="str">
        <f>Targ_name</f>
        <v>[ABC Corporation]</v>
      </c>
    </row>
    <row r="3" spans="2:15">
      <c r="B3" s="20" t="str">
        <f>TOC!E26</f>
        <v>Assembled Workforce</v>
      </c>
    </row>
    <row r="4" spans="2:15">
      <c r="B4" s="25" t="str">
        <f>"Valuation as of "&amp;TEXT(Val_date,"DD MMMM YYYY")</f>
        <v>Valuation as of 31 March 2020</v>
      </c>
    </row>
    <row r="5" spans="2:15">
      <c r="B5" s="27" t="str">
        <f>'Key Inputs and Assumptions'!C24</f>
        <v>(in USD ‘000s unless specified otherwise)</v>
      </c>
    </row>
    <row r="6" spans="2:15" ht="15.75" thickBot="1"/>
    <row r="7" spans="2:15" ht="39.950000000000003" customHeight="1">
      <c r="B7" s="683" t="s">
        <v>218</v>
      </c>
      <c r="C7" s="684"/>
      <c r="D7" s="685" t="s">
        <v>406</v>
      </c>
      <c r="E7" s="570" t="s">
        <v>407</v>
      </c>
      <c r="F7" s="570" t="s">
        <v>219</v>
      </c>
      <c r="G7" s="570" t="s">
        <v>408</v>
      </c>
      <c r="H7" s="570" t="s">
        <v>409</v>
      </c>
      <c r="I7" s="570" t="s">
        <v>410</v>
      </c>
      <c r="J7" s="686" t="s">
        <v>220</v>
      </c>
    </row>
    <row r="8" spans="2:15" ht="24">
      <c r="B8" s="571"/>
      <c r="C8" s="572"/>
      <c r="D8" s="687" t="s">
        <v>221</v>
      </c>
      <c r="E8" s="688" t="s">
        <v>222</v>
      </c>
      <c r="F8" s="688" t="s">
        <v>223</v>
      </c>
      <c r="G8" s="688" t="s">
        <v>224</v>
      </c>
      <c r="H8" s="688" t="s">
        <v>225</v>
      </c>
      <c r="I8" s="688" t="s">
        <v>226</v>
      </c>
      <c r="J8" s="689" t="s">
        <v>227</v>
      </c>
    </row>
    <row r="9" spans="2:15">
      <c r="B9" s="690" t="s">
        <v>405</v>
      </c>
      <c r="C9" s="578"/>
      <c r="D9" s="691">
        <v>660</v>
      </c>
      <c r="E9" s="692">
        <v>0.2</v>
      </c>
      <c r="F9" s="693">
        <f t="shared" ref="F9" si="0">D9*(1+E9)</f>
        <v>792</v>
      </c>
      <c r="G9" s="694">
        <v>75</v>
      </c>
      <c r="H9" s="694">
        <v>2</v>
      </c>
      <c r="I9" s="692">
        <v>0.25</v>
      </c>
      <c r="J9" s="581">
        <f t="shared" ref="J9:J14" si="1">((1-I9)*H9/2)*(F9/12)</f>
        <v>49.5</v>
      </c>
    </row>
    <row r="10" spans="2:15">
      <c r="B10" s="577" t="s">
        <v>233</v>
      </c>
      <c r="C10" s="578"/>
      <c r="D10" s="691">
        <v>560</v>
      </c>
      <c r="E10" s="692">
        <v>0.2</v>
      </c>
      <c r="F10" s="693">
        <f t="shared" ref="F10:F14" si="2">D10*(1+E10)</f>
        <v>672</v>
      </c>
      <c r="G10" s="694">
        <v>60</v>
      </c>
      <c r="H10" s="694">
        <v>3</v>
      </c>
      <c r="I10" s="692">
        <v>0.35</v>
      </c>
      <c r="J10" s="581">
        <f t="shared" si="1"/>
        <v>54.600000000000009</v>
      </c>
    </row>
    <row r="11" spans="2:15">
      <c r="B11" s="577" t="s">
        <v>234</v>
      </c>
      <c r="C11" s="578"/>
      <c r="D11" s="691">
        <v>410</v>
      </c>
      <c r="E11" s="692">
        <v>0.15</v>
      </c>
      <c r="F11" s="693">
        <f t="shared" si="2"/>
        <v>471.49999999999994</v>
      </c>
      <c r="G11" s="694">
        <v>40</v>
      </c>
      <c r="H11" s="694">
        <v>3</v>
      </c>
      <c r="I11" s="692">
        <v>0.35</v>
      </c>
      <c r="J11" s="581">
        <f t="shared" si="1"/>
        <v>38.309375000000003</v>
      </c>
    </row>
    <row r="12" spans="2:15">
      <c r="B12" s="577" t="s">
        <v>235</v>
      </c>
      <c r="C12" s="578"/>
      <c r="D12" s="691">
        <v>360</v>
      </c>
      <c r="E12" s="692">
        <v>0.25</v>
      </c>
      <c r="F12" s="693">
        <f t="shared" si="2"/>
        <v>450</v>
      </c>
      <c r="G12" s="694">
        <v>42</v>
      </c>
      <c r="H12" s="694">
        <v>3</v>
      </c>
      <c r="I12" s="692">
        <v>0.35</v>
      </c>
      <c r="J12" s="581">
        <f t="shared" si="1"/>
        <v>36.5625</v>
      </c>
    </row>
    <row r="13" spans="2:15">
      <c r="B13" s="577" t="s">
        <v>236</v>
      </c>
      <c r="C13" s="578"/>
      <c r="D13" s="691">
        <v>310</v>
      </c>
      <c r="E13" s="692">
        <v>0.2</v>
      </c>
      <c r="F13" s="693">
        <f t="shared" si="2"/>
        <v>372</v>
      </c>
      <c r="G13" s="694">
        <v>40</v>
      </c>
      <c r="H13" s="694">
        <v>3</v>
      </c>
      <c r="I13" s="692">
        <v>0.35</v>
      </c>
      <c r="J13" s="581">
        <f t="shared" si="1"/>
        <v>30.225000000000001</v>
      </c>
    </row>
    <row r="14" spans="2:15" ht="15.75" thickBot="1">
      <c r="B14" s="695" t="s">
        <v>237</v>
      </c>
      <c r="C14" s="696"/>
      <c r="D14" s="697">
        <v>260</v>
      </c>
      <c r="E14" s="698">
        <v>0.2</v>
      </c>
      <c r="F14" s="699">
        <f t="shared" si="2"/>
        <v>312</v>
      </c>
      <c r="G14" s="700">
        <v>38</v>
      </c>
      <c r="H14" s="700">
        <v>3</v>
      </c>
      <c r="I14" s="698">
        <v>0.35</v>
      </c>
      <c r="J14" s="701">
        <f t="shared" si="1"/>
        <v>25.35</v>
      </c>
    </row>
    <row r="15" spans="2:15" ht="15.75" thickBot="1">
      <c r="B15" s="702"/>
      <c r="C15" s="702"/>
      <c r="D15" s="702"/>
      <c r="E15" s="702"/>
      <c r="F15" s="702"/>
      <c r="G15" s="702"/>
      <c r="H15" s="702"/>
      <c r="I15" s="702"/>
      <c r="J15" s="702"/>
    </row>
    <row r="16" spans="2:15" ht="39.950000000000003" customHeight="1">
      <c r="B16" s="683" t="s">
        <v>218</v>
      </c>
      <c r="C16" s="684"/>
      <c r="D16" s="685" t="s">
        <v>228</v>
      </c>
      <c r="E16" s="685" t="s">
        <v>229</v>
      </c>
      <c r="F16" s="685" t="s">
        <v>230</v>
      </c>
      <c r="G16" s="686" t="s">
        <v>231</v>
      </c>
      <c r="H16" s="702"/>
      <c r="I16" s="703"/>
      <c r="J16" s="703"/>
      <c r="M16" t="s">
        <v>105</v>
      </c>
      <c r="O16">
        <v>15</v>
      </c>
    </row>
    <row r="17" spans="2:15">
      <c r="B17" s="577" t="str">
        <f>B9</f>
        <v>Chief Executive's Office</v>
      </c>
      <c r="C17" s="578"/>
      <c r="D17" s="691">
        <v>4</v>
      </c>
      <c r="E17" s="580">
        <f t="shared" ref="E17:E22" si="3">D17*G9</f>
        <v>300</v>
      </c>
      <c r="F17" s="580">
        <f t="shared" ref="F17:F22" si="4">D17*J9</f>
        <v>198</v>
      </c>
      <c r="G17" s="581">
        <f>SUM(E17:F17)</f>
        <v>498</v>
      </c>
      <c r="H17" s="702"/>
      <c r="I17" s="704"/>
      <c r="J17" s="704"/>
    </row>
    <row r="18" spans="2:15">
      <c r="B18" s="577" t="str">
        <f t="shared" ref="B18:B22" si="5">B10</f>
        <v>Senior Management</v>
      </c>
      <c r="C18" s="578"/>
      <c r="D18" s="691">
        <v>10</v>
      </c>
      <c r="E18" s="580">
        <f t="shared" si="3"/>
        <v>600</v>
      </c>
      <c r="F18" s="580">
        <f t="shared" si="4"/>
        <v>546.00000000000011</v>
      </c>
      <c r="G18" s="581">
        <f t="shared" ref="G18:G22" si="6">SUM(E18:F18)</f>
        <v>1146</v>
      </c>
      <c r="H18" s="702"/>
      <c r="I18" s="704"/>
      <c r="J18" s="704"/>
    </row>
    <row r="19" spans="2:15">
      <c r="B19" s="577" t="str">
        <f t="shared" si="5"/>
        <v>Sales &amp; Marketing Executives</v>
      </c>
      <c r="C19" s="578"/>
      <c r="D19" s="691">
        <v>60</v>
      </c>
      <c r="E19" s="580">
        <f t="shared" si="3"/>
        <v>2400</v>
      </c>
      <c r="F19" s="580">
        <f t="shared" si="4"/>
        <v>2298.5625</v>
      </c>
      <c r="G19" s="581">
        <f t="shared" si="6"/>
        <v>4698.5625</v>
      </c>
      <c r="H19" s="702"/>
      <c r="I19" s="704"/>
      <c r="J19" s="704"/>
    </row>
    <row r="20" spans="2:15">
      <c r="B20" s="577" t="str">
        <f t="shared" si="5"/>
        <v>R&amp;D Operations</v>
      </c>
      <c r="C20" s="578"/>
      <c r="D20" s="691">
        <v>20</v>
      </c>
      <c r="E20" s="580">
        <f t="shared" si="3"/>
        <v>840</v>
      </c>
      <c r="F20" s="580">
        <f t="shared" si="4"/>
        <v>731.25</v>
      </c>
      <c r="G20" s="581">
        <f t="shared" si="6"/>
        <v>1571.25</v>
      </c>
      <c r="H20" s="702"/>
      <c r="I20" s="704"/>
      <c r="J20" s="704"/>
    </row>
    <row r="21" spans="2:15">
      <c r="B21" s="577" t="str">
        <f t="shared" si="5"/>
        <v>Manufacturing Operations</v>
      </c>
      <c r="C21" s="578"/>
      <c r="D21" s="691">
        <v>40</v>
      </c>
      <c r="E21" s="580">
        <f t="shared" si="3"/>
        <v>1600</v>
      </c>
      <c r="F21" s="580">
        <f t="shared" si="4"/>
        <v>1209</v>
      </c>
      <c r="G21" s="581">
        <f t="shared" si="6"/>
        <v>2809</v>
      </c>
      <c r="H21" s="702"/>
      <c r="I21" s="704"/>
      <c r="J21" s="704"/>
    </row>
    <row r="22" spans="2:15">
      <c r="B22" s="577" t="str">
        <f t="shared" si="5"/>
        <v>Customer Support &amp; Staff</v>
      </c>
      <c r="C22" s="578"/>
      <c r="D22" s="691">
        <v>20</v>
      </c>
      <c r="E22" s="580">
        <f t="shared" si="3"/>
        <v>760</v>
      </c>
      <c r="F22" s="580">
        <f t="shared" si="4"/>
        <v>507</v>
      </c>
      <c r="G22" s="581">
        <f t="shared" si="6"/>
        <v>1267</v>
      </c>
      <c r="H22" s="702"/>
      <c r="I22" s="705"/>
      <c r="J22" s="705"/>
    </row>
    <row r="23" spans="2:15" ht="15.75" thickBot="1">
      <c r="B23" s="706" t="s">
        <v>232</v>
      </c>
      <c r="C23" s="707"/>
      <c r="D23" s="708">
        <f>SUM(D17:D22)</f>
        <v>154</v>
      </c>
      <c r="E23" s="708"/>
      <c r="F23" s="708"/>
      <c r="G23" s="709">
        <f>SUM(G17:G22)</f>
        <v>11989.8125</v>
      </c>
      <c r="H23" s="702"/>
      <c r="I23" s="710"/>
      <c r="J23" s="710"/>
    </row>
    <row r="24" spans="2:15" ht="15.75" thickBot="1">
      <c r="B24" s="55"/>
      <c r="C24" s="55"/>
      <c r="D24" s="55"/>
      <c r="E24" s="55"/>
      <c r="F24" s="55"/>
      <c r="G24" s="55"/>
      <c r="H24" s="55"/>
      <c r="I24" s="55"/>
      <c r="J24" s="55"/>
    </row>
    <row r="25" spans="2:15">
      <c r="B25" s="711" t="s">
        <v>238</v>
      </c>
      <c r="C25" s="712"/>
      <c r="D25" s="713"/>
      <c r="E25" s="714">
        <f>G23</f>
        <v>11989.8125</v>
      </c>
      <c r="F25" s="55"/>
      <c r="G25" s="55"/>
      <c r="H25" s="55"/>
      <c r="I25" s="55"/>
      <c r="J25" s="55"/>
      <c r="M25" t="s">
        <v>240</v>
      </c>
      <c r="O25" s="71">
        <f>tax_rate</f>
        <v>0.26140000000000002</v>
      </c>
    </row>
    <row r="26" spans="2:15">
      <c r="B26" s="577" t="s">
        <v>243</v>
      </c>
      <c r="C26" s="578"/>
      <c r="D26" s="691"/>
      <c r="E26" s="590">
        <f>E25*-O25</f>
        <v>-3134.1369875</v>
      </c>
      <c r="F26" s="55"/>
      <c r="G26" s="55"/>
      <c r="H26" s="55"/>
      <c r="I26" s="55"/>
      <c r="J26" s="55"/>
      <c r="O26" s="71"/>
    </row>
    <row r="27" spans="2:15">
      <c r="B27" s="577" t="s">
        <v>241</v>
      </c>
      <c r="C27" s="578"/>
      <c r="D27" s="691"/>
      <c r="E27" s="581">
        <f>(E25+E26)*(O27/(O27-((PV(O28,O27,-1)*(1+O28)^0.5)*O25))-1)</f>
        <v>1060.160967503786</v>
      </c>
      <c r="F27" s="55"/>
      <c r="G27" s="55"/>
      <c r="H27" s="55"/>
      <c r="I27" s="55"/>
      <c r="J27" s="55"/>
      <c r="M27" t="s">
        <v>105</v>
      </c>
      <c r="O27">
        <v>15</v>
      </c>
    </row>
    <row r="28" spans="2:15" ht="15.75" thickBot="1">
      <c r="B28" s="706" t="s">
        <v>239</v>
      </c>
      <c r="C28" s="707"/>
      <c r="D28" s="708"/>
      <c r="E28" s="709">
        <f>SUM(E25:E27)</f>
        <v>9915.8364800037853</v>
      </c>
      <c r="F28" s="55"/>
      <c r="G28" s="55"/>
      <c r="H28" s="55"/>
      <c r="I28" s="55"/>
      <c r="J28" s="55"/>
      <c r="M28" t="s">
        <v>242</v>
      </c>
      <c r="O28" s="71">
        <f>WACC!G23</f>
        <v>0.155</v>
      </c>
    </row>
    <row r="29" spans="2:15">
      <c r="B29" s="3"/>
      <c r="C29" s="3"/>
      <c r="D29" s="3"/>
      <c r="E29" s="3"/>
      <c r="F29" s="3"/>
      <c r="G29" s="3"/>
      <c r="H29" s="3"/>
      <c r="I29" s="3"/>
      <c r="J29" s="3"/>
    </row>
    <row r="30" spans="2:15">
      <c r="B30" s="55" t="s">
        <v>216</v>
      </c>
      <c r="C30" s="3"/>
      <c r="D30" s="3"/>
      <c r="E30" s="3"/>
      <c r="F30" s="3"/>
      <c r="G30" s="3"/>
      <c r="H30" s="3"/>
      <c r="I30" s="3"/>
      <c r="J30" s="3"/>
    </row>
    <row r="31" spans="2:15">
      <c r="B31" s="55" t="s">
        <v>299</v>
      </c>
      <c r="C31" s="43"/>
      <c r="D31" s="43"/>
      <c r="E31" s="43"/>
      <c r="F31" s="43"/>
      <c r="G31" s="43"/>
      <c r="H31" s="43"/>
      <c r="I31" s="43"/>
      <c r="J31" s="43"/>
    </row>
    <row r="32" spans="2:15">
      <c r="B32" s="43"/>
      <c r="C32" s="43"/>
      <c r="D32" s="43"/>
      <c r="E32" s="43"/>
      <c r="F32" s="43"/>
      <c r="G32" s="43"/>
      <c r="H32" s="43"/>
      <c r="I32" s="43"/>
      <c r="J32" s="43"/>
    </row>
    <row r="33" spans="2:10">
      <c r="B33" s="43"/>
      <c r="C33" s="43"/>
      <c r="D33" s="43"/>
      <c r="E33" s="43"/>
      <c r="F33" s="43"/>
      <c r="G33" s="43"/>
      <c r="H33" s="43"/>
      <c r="I33" s="43"/>
      <c r="J33" s="43"/>
    </row>
    <row r="34" spans="2:10">
      <c r="B34" s="43"/>
      <c r="C34" s="43"/>
      <c r="D34" s="43"/>
      <c r="E34" s="43"/>
      <c r="F34" s="43"/>
      <c r="G34" s="43"/>
      <c r="H34" s="43"/>
      <c r="I34" s="43"/>
      <c r="J34" s="43"/>
    </row>
    <row r="35" spans="2:10">
      <c r="B35" s="43"/>
      <c r="C35" s="43"/>
      <c r="D35" s="43"/>
      <c r="E35" s="43"/>
      <c r="F35" s="43"/>
      <c r="G35" s="43"/>
      <c r="H35" s="43"/>
      <c r="I35" s="43"/>
      <c r="J35" s="43"/>
    </row>
    <row r="36" spans="2:10">
      <c r="B36" s="43"/>
      <c r="C36" s="43"/>
      <c r="D36" s="43"/>
      <c r="E36" s="43"/>
      <c r="F36" s="43"/>
      <c r="G36" s="43"/>
      <c r="H36" s="43"/>
      <c r="I36" s="43"/>
      <c r="J36" s="43"/>
    </row>
    <row r="37" spans="2:10">
      <c r="B37" s="43"/>
      <c r="C37" s="43"/>
      <c r="D37" s="43"/>
      <c r="E37" s="43"/>
      <c r="F37" s="43"/>
      <c r="G37" s="43"/>
      <c r="H37" s="43"/>
      <c r="I37" s="43"/>
      <c r="J37" s="43"/>
    </row>
    <row r="38" spans="2:10">
      <c r="B38" s="43"/>
      <c r="C38" s="43"/>
      <c r="D38" s="43"/>
      <c r="E38" s="43"/>
      <c r="F38" s="43"/>
      <c r="G38" s="43"/>
      <c r="H38" s="43"/>
      <c r="I38" s="43"/>
      <c r="J38" s="43"/>
    </row>
    <row r="39" spans="2:10">
      <c r="B39" s="43"/>
      <c r="C39" s="43"/>
      <c r="D39" s="43"/>
      <c r="E39" s="43"/>
      <c r="F39" s="43"/>
      <c r="G39" s="43"/>
      <c r="H39" s="43"/>
      <c r="I39" s="43"/>
      <c r="J39" s="43"/>
    </row>
    <row r="40" spans="2:10">
      <c r="B40" s="43"/>
      <c r="C40" s="43"/>
      <c r="D40" s="43"/>
      <c r="E40" s="43"/>
      <c r="F40" s="43"/>
      <c r="G40" s="43"/>
      <c r="H40" s="43"/>
      <c r="I40" s="43"/>
      <c r="J40" s="43"/>
    </row>
    <row r="41" spans="2:10">
      <c r="B41" s="43"/>
      <c r="C41" s="43"/>
      <c r="D41" s="43"/>
      <c r="E41" s="43"/>
      <c r="F41" s="43"/>
      <c r="G41" s="43"/>
      <c r="H41" s="43"/>
      <c r="I41" s="43"/>
      <c r="J41" s="43"/>
    </row>
    <row r="42" spans="2:10">
      <c r="B42" s="43"/>
      <c r="C42" s="43"/>
      <c r="D42" s="43"/>
      <c r="E42" s="43"/>
      <c r="F42" s="43"/>
      <c r="G42" s="43"/>
      <c r="H42" s="43"/>
      <c r="I42" s="43"/>
      <c r="J42" s="43"/>
    </row>
    <row r="43" spans="2:10">
      <c r="B43" s="43"/>
      <c r="C43" s="43"/>
      <c r="D43" s="43"/>
      <c r="E43" s="43"/>
      <c r="F43" s="43"/>
      <c r="G43" s="43"/>
      <c r="H43" s="43"/>
      <c r="I43" s="43"/>
      <c r="J43" s="43"/>
    </row>
    <row r="44" spans="2:10">
      <c r="B44" s="43"/>
      <c r="C44" s="43"/>
      <c r="D44" s="43"/>
      <c r="E44" s="43"/>
      <c r="F44" s="43"/>
      <c r="G44" s="43"/>
      <c r="H44" s="43"/>
      <c r="I44" s="43"/>
      <c r="J44" s="43"/>
    </row>
    <row r="45" spans="2:10">
      <c r="B45" s="43"/>
      <c r="C45" s="43"/>
      <c r="D45" s="43"/>
      <c r="E45" s="43"/>
      <c r="F45" s="43"/>
      <c r="G45" s="43"/>
      <c r="H45" s="43"/>
      <c r="I45" s="43"/>
      <c r="J45" s="43"/>
    </row>
    <row r="46" spans="2:10">
      <c r="B46" s="43"/>
      <c r="C46" s="43"/>
      <c r="D46" s="43"/>
      <c r="E46" s="43"/>
      <c r="F46" s="43"/>
      <c r="G46" s="43"/>
      <c r="H46" s="43"/>
      <c r="I46" s="43"/>
      <c r="J46" s="43"/>
    </row>
  </sheetData>
  <pageMargins left="0.5" right="0.5" top="0.5" bottom="0.5" header="0.5" footer="0.5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0.140625" customWidth="1"/>
    <col min="3" max="3" width="8.140625" customWidth="1"/>
    <col min="4" max="4" width="5.7109375" customWidth="1"/>
    <col min="5" max="5" width="9.140625" customWidth="1"/>
    <col min="6" max="13" width="9.7109375" customWidth="1"/>
    <col min="14" max="14" width="2.7109375" customWidth="1"/>
  </cols>
  <sheetData>
    <row r="1" spans="2:13" ht="15.75">
      <c r="B1" s="18" t="str">
        <f>Acq_name</f>
        <v>[Acq.Co. Holdings Ltd.]</v>
      </c>
      <c r="M1" s="34" t="str">
        <f>"Exhibit: "&amp;INDEX(TOC!$B$5:$E$34,MATCH($B$3,TOC!$E$5:$E$36,0),COLUMNS(TOC!I5))&amp;O1</f>
        <v>Exhibit: O</v>
      </c>
    </row>
    <row r="2" spans="2:13">
      <c r="B2" s="19" t="str">
        <f>Targ_name</f>
        <v>[ABC Corporation]</v>
      </c>
    </row>
    <row r="3" spans="2:13">
      <c r="B3" s="20" t="str">
        <f>TOC!E27</f>
        <v>Contributory Asset Charges</v>
      </c>
    </row>
    <row r="4" spans="2:13">
      <c r="B4" s="25" t="str">
        <f>"Valuation as of "&amp;TEXT(Val_date,"DD MMMM YYYY")</f>
        <v>Valuation as of 31 March 2020</v>
      </c>
    </row>
    <row r="5" spans="2:13">
      <c r="B5" s="27" t="str">
        <f>'Key Inputs and Assumptions'!C24</f>
        <v>(in USD ‘000s unless specified otherwise)</v>
      </c>
    </row>
    <row r="7" spans="2:13">
      <c r="B7" s="781"/>
      <c r="C7" s="782"/>
      <c r="D7" s="782"/>
      <c r="E7" s="782"/>
      <c r="F7" s="715" t="s">
        <v>128</v>
      </c>
      <c r="G7" s="783" t="s">
        <v>0</v>
      </c>
      <c r="H7" s="783"/>
      <c r="I7" s="783"/>
      <c r="J7" s="783"/>
      <c r="K7" s="783"/>
      <c r="L7" s="783"/>
      <c r="M7" s="784"/>
    </row>
    <row r="8" spans="2:13" ht="12.95" customHeight="1">
      <c r="B8" s="716"/>
      <c r="C8" s="717"/>
      <c r="D8" s="718"/>
      <c r="E8" s="719"/>
      <c r="F8" s="720">
        <f>'Key Inputs and Assumptions'!C16</f>
        <v>44196</v>
      </c>
      <c r="G8" s="720">
        <f>F8+365</f>
        <v>44561</v>
      </c>
      <c r="H8" s="720">
        <f t="shared" ref="H8:M8" si="0">G8+365</f>
        <v>44926</v>
      </c>
      <c r="I8" s="720">
        <f t="shared" si="0"/>
        <v>45291</v>
      </c>
      <c r="J8" s="720">
        <f t="shared" si="0"/>
        <v>45656</v>
      </c>
      <c r="K8" s="720">
        <f t="shared" si="0"/>
        <v>46021</v>
      </c>
      <c r="L8" s="720">
        <f t="shared" si="0"/>
        <v>46386</v>
      </c>
      <c r="M8" s="721">
        <f t="shared" si="0"/>
        <v>46751</v>
      </c>
    </row>
    <row r="9" spans="2:13" ht="12.95" customHeight="1">
      <c r="B9" s="722" t="s">
        <v>285</v>
      </c>
      <c r="C9" s="666"/>
      <c r="D9" s="666"/>
      <c r="E9" s="666"/>
      <c r="F9" s="723">
        <f>IRR!G9</f>
        <v>24894.522170329663</v>
      </c>
      <c r="G9" s="723">
        <f>IRR!H9</f>
        <v>34895.194225450541</v>
      </c>
      <c r="H9" s="723">
        <f>IRR!I9</f>
        <v>37103.761728249228</v>
      </c>
      <c r="I9" s="723">
        <f>IRR!J9</f>
        <v>39703.361320061165</v>
      </c>
      <c r="J9" s="723">
        <f>IRR!K9</f>
        <v>42492.493811895663</v>
      </c>
      <c r="K9" s="723">
        <f>IRR!L9</f>
        <v>44617.118502490448</v>
      </c>
      <c r="L9" s="723">
        <f>IRR!M9</f>
        <v>45955.632057565163</v>
      </c>
      <c r="M9" s="724">
        <f>IRR!N9</f>
        <v>47334.301019292121</v>
      </c>
    </row>
    <row r="10" spans="2:13" ht="12.95" customHeight="1">
      <c r="B10" s="722" t="s">
        <v>287</v>
      </c>
      <c r="C10" s="666"/>
      <c r="D10" s="666"/>
      <c r="E10" s="666"/>
      <c r="F10" s="723">
        <f>IRR!G9-IRR!G13</f>
        <v>14189.87763708791</v>
      </c>
      <c r="G10" s="723">
        <f>IRR!H9-IRR!H13</f>
        <v>19890.260708506808</v>
      </c>
      <c r="H10" s="723">
        <f>IRR!I9-IRR!I13</f>
        <v>21149.144185102061</v>
      </c>
      <c r="I10" s="723">
        <f>IRR!J9-IRR!J13</f>
        <v>22630.915952434865</v>
      </c>
      <c r="J10" s="723">
        <f>IRR!K9-IRR!K13</f>
        <v>24220.721472780526</v>
      </c>
      <c r="K10" s="723">
        <f>IRR!L9-IRR!L13</f>
        <v>25431.757546419554</v>
      </c>
      <c r="L10" s="723">
        <f>IRR!M9-IRR!M13</f>
        <v>26194.710272812143</v>
      </c>
      <c r="M10" s="724">
        <f>IRR!N9-IRR!N13</f>
        <v>26980.551580996511</v>
      </c>
    </row>
    <row r="11" spans="2:13" ht="5.0999999999999996" customHeight="1">
      <c r="B11" s="664"/>
      <c r="C11" s="664"/>
      <c r="D11" s="664"/>
      <c r="E11" s="664"/>
      <c r="F11" s="725"/>
      <c r="G11" s="725"/>
      <c r="H11" s="725"/>
      <c r="I11" s="725"/>
      <c r="J11" s="725"/>
      <c r="K11" s="725"/>
      <c r="L11" s="725"/>
      <c r="M11" s="725"/>
    </row>
    <row r="12" spans="2:13" ht="12.95" customHeight="1">
      <c r="B12" s="726" t="s">
        <v>288</v>
      </c>
      <c r="C12" s="666"/>
      <c r="D12" s="727"/>
      <c r="E12" s="664"/>
      <c r="F12" s="725"/>
      <c r="G12" s="725"/>
      <c r="H12" s="725"/>
      <c r="I12" s="725"/>
      <c r="J12" s="725"/>
      <c r="K12" s="725"/>
      <c r="L12" s="725"/>
      <c r="M12" s="725"/>
    </row>
    <row r="13" spans="2:13" ht="12.95" customHeight="1">
      <c r="B13" s="726" t="s">
        <v>289</v>
      </c>
      <c r="C13" s="666"/>
      <c r="D13" s="666"/>
      <c r="E13" s="666"/>
      <c r="F13" s="723">
        <f t="shared" ref="F13:M13" si="1">nwc_req*F9</f>
        <v>2489.4522170329665</v>
      </c>
      <c r="G13" s="723">
        <f t="shared" si="1"/>
        <v>3489.5194225450541</v>
      </c>
      <c r="H13" s="723">
        <f t="shared" si="1"/>
        <v>3710.3761728249228</v>
      </c>
      <c r="I13" s="723">
        <f t="shared" si="1"/>
        <v>3970.3361320061167</v>
      </c>
      <c r="J13" s="723">
        <f t="shared" si="1"/>
        <v>4249.2493811895665</v>
      </c>
      <c r="K13" s="723">
        <f t="shared" si="1"/>
        <v>4461.7118502490448</v>
      </c>
      <c r="L13" s="723">
        <f t="shared" si="1"/>
        <v>4595.5632057565163</v>
      </c>
      <c r="M13" s="724">
        <f t="shared" si="1"/>
        <v>4733.4301019292125</v>
      </c>
    </row>
    <row r="14" spans="2:13" ht="12.95" customHeight="1">
      <c r="B14" s="722" t="s">
        <v>290</v>
      </c>
      <c r="C14" s="666"/>
      <c r="D14" s="666"/>
      <c r="E14" s="728">
        <f>WARA!E10</f>
        <v>3.3237000000000003E-2</v>
      </c>
      <c r="F14" s="723">
        <f>$E$14*F13</f>
        <v>82.74192333752471</v>
      </c>
      <c r="G14" s="723">
        <f t="shared" ref="G14:M14" si="2">$E$14*G13</f>
        <v>115.98115704712997</v>
      </c>
      <c r="H14" s="723">
        <f t="shared" si="2"/>
        <v>123.32177285618197</v>
      </c>
      <c r="I14" s="723">
        <f t="shared" si="2"/>
        <v>131.96206201948732</v>
      </c>
      <c r="J14" s="723">
        <f t="shared" si="2"/>
        <v>141.23230168259764</v>
      </c>
      <c r="K14" s="723">
        <f t="shared" si="2"/>
        <v>148.29391676672751</v>
      </c>
      <c r="L14" s="723">
        <f t="shared" si="2"/>
        <v>152.74273426972934</v>
      </c>
      <c r="M14" s="724">
        <f t="shared" si="2"/>
        <v>157.32501629782124</v>
      </c>
    </row>
    <row r="15" spans="2:13" ht="12.95" customHeight="1">
      <c r="B15" s="722" t="s">
        <v>291</v>
      </c>
      <c r="C15" s="666"/>
      <c r="D15" s="666"/>
      <c r="E15" s="666"/>
      <c r="F15" s="728">
        <f>F14/F$9</f>
        <v>3.3237000000000002E-3</v>
      </c>
      <c r="G15" s="728">
        <f t="shared" ref="G15:M15" si="3">G14/G$9</f>
        <v>3.3237000000000002E-3</v>
      </c>
      <c r="H15" s="728">
        <f t="shared" si="3"/>
        <v>3.3237000000000002E-3</v>
      </c>
      <c r="I15" s="728">
        <f t="shared" si="3"/>
        <v>3.3237000000000006E-3</v>
      </c>
      <c r="J15" s="728">
        <f t="shared" si="3"/>
        <v>3.3237000000000006E-3</v>
      </c>
      <c r="K15" s="728">
        <f t="shared" si="3"/>
        <v>3.3237000000000002E-3</v>
      </c>
      <c r="L15" s="728">
        <f t="shared" si="3"/>
        <v>3.3237000000000002E-3</v>
      </c>
      <c r="M15" s="729">
        <f t="shared" si="3"/>
        <v>3.3237000000000002E-3</v>
      </c>
    </row>
    <row r="16" spans="2:13" ht="12.95" customHeight="1">
      <c r="B16" s="730" t="s">
        <v>292</v>
      </c>
      <c r="C16" s="664"/>
      <c r="D16" s="664"/>
      <c r="E16" s="664"/>
      <c r="F16" s="731">
        <f>AVERAGE(F15:M15)</f>
        <v>3.3236999999999997E-3</v>
      </c>
      <c r="G16" s="725"/>
      <c r="H16" s="725"/>
      <c r="I16" s="725"/>
      <c r="J16" s="725"/>
      <c r="K16" s="725"/>
      <c r="L16" s="725"/>
      <c r="M16" s="725"/>
    </row>
    <row r="17" spans="2:13" ht="5.0999999999999996" customHeight="1">
      <c r="B17" s="664"/>
      <c r="C17" s="664"/>
      <c r="D17" s="664"/>
      <c r="E17" s="664"/>
      <c r="F17" s="664"/>
      <c r="G17" s="664"/>
      <c r="H17" s="664"/>
      <c r="I17" s="664"/>
      <c r="J17" s="664"/>
      <c r="K17" s="664"/>
      <c r="L17" s="664"/>
      <c r="M17" s="664"/>
    </row>
    <row r="18" spans="2:13" ht="12.95" customHeight="1">
      <c r="B18" s="732" t="s">
        <v>293</v>
      </c>
      <c r="C18" s="733"/>
      <c r="D18" s="734"/>
      <c r="E18" s="664"/>
      <c r="F18" s="664"/>
      <c r="G18" s="664"/>
      <c r="H18" s="664"/>
      <c r="I18" s="664"/>
      <c r="J18" s="664"/>
      <c r="K18" s="664"/>
      <c r="L18" s="664"/>
      <c r="M18" s="664"/>
    </row>
    <row r="19" spans="2:13" ht="12.95" customHeight="1">
      <c r="B19" s="722" t="s">
        <v>294</v>
      </c>
      <c r="C19" s="666"/>
      <c r="D19" s="666"/>
      <c r="E19" s="666"/>
      <c r="F19" s="723">
        <f>'Historical BS'!H19</f>
        <v>17922.322776880323</v>
      </c>
      <c r="G19" s="723">
        <f>F22</f>
        <v>18171.267998583618</v>
      </c>
      <c r="H19" s="723">
        <f t="shared" ref="H19:M19" si="4">G22</f>
        <v>18520.219940838124</v>
      </c>
      <c r="I19" s="723">
        <f t="shared" si="4"/>
        <v>18891.257558120618</v>
      </c>
      <c r="J19" s="723">
        <f t="shared" si="4"/>
        <v>19288.291171321231</v>
      </c>
      <c r="K19" s="723">
        <f t="shared" si="4"/>
        <v>19713.216109440185</v>
      </c>
      <c r="L19" s="723">
        <f t="shared" si="4"/>
        <v>20159.38729446509</v>
      </c>
      <c r="M19" s="724">
        <f t="shared" si="4"/>
        <v>20618.943615040742</v>
      </c>
    </row>
    <row r="20" spans="2:13" ht="12.95" customHeight="1">
      <c r="B20" s="722" t="s">
        <v>296</v>
      </c>
      <c r="C20" s="666"/>
      <c r="D20" s="666"/>
      <c r="E20" s="666"/>
      <c r="F20" s="723">
        <f>-IRR!G23</f>
        <v>995.7808868131865</v>
      </c>
      <c r="G20" s="723">
        <f>-IRR!H23</f>
        <v>1395.8077690180216</v>
      </c>
      <c r="H20" s="723">
        <f>-IRR!I23</f>
        <v>1484.1504691299692</v>
      </c>
      <c r="I20" s="723">
        <f>-IRR!J23</f>
        <v>1588.1344528024467</v>
      </c>
      <c r="J20" s="723">
        <f>-IRR!K23</f>
        <v>1699.6997524758265</v>
      </c>
      <c r="K20" s="723">
        <f>-IRR!L23</f>
        <v>1784.684740099618</v>
      </c>
      <c r="L20" s="723">
        <f>-IRR!M23</f>
        <v>1838.2252823026065</v>
      </c>
      <c r="M20" s="724">
        <f>-IRR!N23</f>
        <v>1893.3720407716849</v>
      </c>
    </row>
    <row r="21" spans="2:13" ht="12.95" customHeight="1">
      <c r="B21" s="722" t="s">
        <v>66</v>
      </c>
      <c r="C21" s="666"/>
      <c r="D21" s="666"/>
      <c r="E21" s="666"/>
      <c r="F21" s="735">
        <f>IRR!G15</f>
        <v>-746.83566510988987</v>
      </c>
      <c r="G21" s="735">
        <f>IRR!H15</f>
        <v>-1046.8558267635162</v>
      </c>
      <c r="H21" s="735">
        <f>IRR!I15</f>
        <v>-1113.1128518474768</v>
      </c>
      <c r="I21" s="735">
        <f>IRR!J15</f>
        <v>-1191.1008396018349</v>
      </c>
      <c r="J21" s="735">
        <f>IRR!K15</f>
        <v>-1274.7748143568699</v>
      </c>
      <c r="K21" s="735">
        <f>IRR!L15</f>
        <v>-1338.5135550747134</v>
      </c>
      <c r="L21" s="735">
        <f>IRR!M15</f>
        <v>-1378.6689617269549</v>
      </c>
      <c r="M21" s="736">
        <f>IRR!N15</f>
        <v>-1893.3720407716849</v>
      </c>
    </row>
    <row r="22" spans="2:13" ht="12.95" customHeight="1">
      <c r="B22" s="722" t="s">
        <v>295</v>
      </c>
      <c r="C22" s="666"/>
      <c r="D22" s="666"/>
      <c r="E22" s="666"/>
      <c r="F22" s="723">
        <f>SUM(F19:F21)</f>
        <v>18171.267998583618</v>
      </c>
      <c r="G22" s="723">
        <f t="shared" ref="G22:M22" si="5">SUM(G19:G21)</f>
        <v>18520.219940838124</v>
      </c>
      <c r="H22" s="723">
        <f t="shared" si="5"/>
        <v>18891.257558120618</v>
      </c>
      <c r="I22" s="723">
        <f t="shared" si="5"/>
        <v>19288.291171321231</v>
      </c>
      <c r="J22" s="723">
        <f t="shared" si="5"/>
        <v>19713.216109440185</v>
      </c>
      <c r="K22" s="723">
        <f t="shared" si="5"/>
        <v>20159.38729446509</v>
      </c>
      <c r="L22" s="723">
        <f t="shared" si="5"/>
        <v>20618.943615040742</v>
      </c>
      <c r="M22" s="724">
        <f t="shared" si="5"/>
        <v>20618.943615040742</v>
      </c>
    </row>
    <row r="23" spans="2:13" ht="12.95" customHeight="1">
      <c r="B23" s="726" t="s">
        <v>164</v>
      </c>
      <c r="C23" s="666"/>
      <c r="D23" s="666"/>
      <c r="E23" s="666"/>
      <c r="F23" s="737">
        <f>(F22+F19)/2</f>
        <v>18046.795387731971</v>
      </c>
      <c r="G23" s="737">
        <f t="shared" ref="G23:M23" si="6">(G22+G19)/2</f>
        <v>18345.743969710871</v>
      </c>
      <c r="H23" s="737">
        <f t="shared" si="6"/>
        <v>18705.738749479373</v>
      </c>
      <c r="I23" s="737">
        <f t="shared" si="6"/>
        <v>19089.774364720924</v>
      </c>
      <c r="J23" s="737">
        <f t="shared" si="6"/>
        <v>19500.75364038071</v>
      </c>
      <c r="K23" s="737">
        <f t="shared" si="6"/>
        <v>19936.301701952638</v>
      </c>
      <c r="L23" s="737">
        <f t="shared" si="6"/>
        <v>20389.165454752918</v>
      </c>
      <c r="M23" s="738">
        <f t="shared" si="6"/>
        <v>20618.943615040742</v>
      </c>
    </row>
    <row r="24" spans="2:13" ht="12.95" customHeight="1">
      <c r="B24" s="722" t="s">
        <v>290</v>
      </c>
      <c r="C24" s="666"/>
      <c r="D24" s="666"/>
      <c r="E24" s="728">
        <f>WARA!E11</f>
        <v>4.0622999999999999E-2</v>
      </c>
      <c r="F24" s="723">
        <f>$E$24*F23</f>
        <v>733.11496903583588</v>
      </c>
      <c r="G24" s="723">
        <f t="shared" ref="G24:M24" si="7">$E$24*G23</f>
        <v>745.25915728156474</v>
      </c>
      <c r="H24" s="723">
        <f t="shared" si="7"/>
        <v>759.8832252201006</v>
      </c>
      <c r="I24" s="723">
        <f t="shared" si="7"/>
        <v>775.48390401805807</v>
      </c>
      <c r="J24" s="723">
        <f t="shared" si="7"/>
        <v>792.17911513318552</v>
      </c>
      <c r="K24" s="723">
        <f t="shared" si="7"/>
        <v>809.87238403842196</v>
      </c>
      <c r="L24" s="723">
        <f t="shared" si="7"/>
        <v>828.26906826842776</v>
      </c>
      <c r="M24" s="724">
        <f t="shared" si="7"/>
        <v>837.6033464738</v>
      </c>
    </row>
    <row r="25" spans="2:13" ht="12.95" customHeight="1">
      <c r="B25" s="722" t="s">
        <v>291</v>
      </c>
      <c r="C25" s="666"/>
      <c r="D25" s="666"/>
      <c r="E25" s="666"/>
      <c r="F25" s="728">
        <f>F24/F$9</f>
        <v>2.9448846779216074E-2</v>
      </c>
      <c r="G25" s="728">
        <f t="shared" ref="G25" si="8">G24/G$9</f>
        <v>2.1357071477138126E-2</v>
      </c>
      <c r="H25" s="728">
        <f t="shared" ref="H25" si="9">H24/H$9</f>
        <v>2.0479951083815791E-2</v>
      </c>
      <c r="I25" s="728">
        <f t="shared" ref="I25" si="10">I24/I$9</f>
        <v>1.9531945866412687E-2</v>
      </c>
      <c r="J25" s="728">
        <f t="shared" ref="J25" si="11">J24/J$9</f>
        <v>1.8642801211902912E-2</v>
      </c>
      <c r="K25" s="728">
        <f t="shared" ref="K25" si="12">K24/K$9</f>
        <v>1.8151606630383725E-2</v>
      </c>
      <c r="L25" s="728">
        <f t="shared" ref="L25" si="13">L24/L$9</f>
        <v>1.8023233087751191E-2</v>
      </c>
      <c r="M25" s="729">
        <f t="shared" ref="M25" si="14">M24/M$9</f>
        <v>1.7695483580340957E-2</v>
      </c>
    </row>
    <row r="26" spans="2:13" ht="12.95" customHeight="1">
      <c r="B26" s="726" t="s">
        <v>292</v>
      </c>
      <c r="C26" s="666"/>
      <c r="D26" s="666"/>
      <c r="E26" s="666"/>
      <c r="F26" s="739">
        <f>AVERAGE(F25:M25)</f>
        <v>2.0416367464620184E-2</v>
      </c>
      <c r="G26" s="664"/>
      <c r="H26" s="664"/>
      <c r="I26" s="664"/>
      <c r="J26" s="664"/>
      <c r="K26" s="664"/>
      <c r="L26" s="664"/>
      <c r="M26" s="664"/>
    </row>
    <row r="27" spans="2:13" ht="5.0999999999999996" customHeight="1">
      <c r="B27" s="664"/>
      <c r="C27" s="664"/>
      <c r="D27" s="664"/>
      <c r="E27" s="664"/>
      <c r="F27" s="664"/>
      <c r="G27" s="664"/>
      <c r="H27" s="664"/>
      <c r="I27" s="664"/>
      <c r="J27" s="664"/>
      <c r="K27" s="664"/>
      <c r="L27" s="664"/>
      <c r="M27" s="664"/>
    </row>
    <row r="28" spans="2:13" ht="12.95" customHeight="1">
      <c r="B28" s="726" t="s">
        <v>297</v>
      </c>
      <c r="C28" s="666"/>
      <c r="D28" s="666"/>
      <c r="E28" s="666"/>
      <c r="F28" s="723">
        <f>'Assembled Workforce'!E28</f>
        <v>9915.8364800037853</v>
      </c>
      <c r="G28" s="723">
        <f>F28</f>
        <v>9915.8364800037853</v>
      </c>
      <c r="H28" s="723">
        <f t="shared" ref="H28:M28" si="15">G28</f>
        <v>9915.8364800037853</v>
      </c>
      <c r="I28" s="723">
        <f t="shared" si="15"/>
        <v>9915.8364800037853</v>
      </c>
      <c r="J28" s="723">
        <f t="shared" si="15"/>
        <v>9915.8364800037853</v>
      </c>
      <c r="K28" s="723">
        <f t="shared" si="15"/>
        <v>9915.8364800037853</v>
      </c>
      <c r="L28" s="723">
        <f t="shared" si="15"/>
        <v>9915.8364800037853</v>
      </c>
      <c r="M28" s="724">
        <f t="shared" si="15"/>
        <v>9915.8364800037853</v>
      </c>
    </row>
    <row r="29" spans="2:13" ht="12.95" customHeight="1">
      <c r="B29" s="722" t="s">
        <v>290</v>
      </c>
      <c r="C29" s="666"/>
      <c r="D29" s="666"/>
      <c r="E29" s="728">
        <f>WARA!E20</f>
        <v>0.155</v>
      </c>
      <c r="F29" s="723">
        <f>$E$29*F28</f>
        <v>1536.9546544005866</v>
      </c>
      <c r="G29" s="723">
        <f t="shared" ref="G29:M29" si="16">$E$29*G28</f>
        <v>1536.9546544005866</v>
      </c>
      <c r="H29" s="723">
        <f t="shared" si="16"/>
        <v>1536.9546544005866</v>
      </c>
      <c r="I29" s="723">
        <f t="shared" si="16"/>
        <v>1536.9546544005866</v>
      </c>
      <c r="J29" s="723">
        <f t="shared" si="16"/>
        <v>1536.9546544005866</v>
      </c>
      <c r="K29" s="723">
        <f t="shared" si="16"/>
        <v>1536.9546544005866</v>
      </c>
      <c r="L29" s="723">
        <f t="shared" si="16"/>
        <v>1536.9546544005866</v>
      </c>
      <c r="M29" s="724">
        <f t="shared" si="16"/>
        <v>1536.9546544005866</v>
      </c>
    </row>
    <row r="30" spans="2:13" ht="12.95" customHeight="1">
      <c r="B30" s="722" t="s">
        <v>291</v>
      </c>
      <c r="C30" s="666"/>
      <c r="D30" s="666"/>
      <c r="E30" s="666"/>
      <c r="F30" s="728">
        <f>F29/F$9</f>
        <v>6.1738668606879057E-2</v>
      </c>
      <c r="G30" s="728">
        <f t="shared" ref="G30" si="17">G29/G$9</f>
        <v>4.4044880348584524E-2</v>
      </c>
      <c r="H30" s="728">
        <f t="shared" ref="H30" si="18">H29/H$9</f>
        <v>4.1423149104324229E-2</v>
      </c>
      <c r="I30" s="728">
        <f t="shared" ref="I30" si="19">I29/I$9</f>
        <v>3.8710945453980995E-2</v>
      </c>
      <c r="J30" s="728">
        <f t="shared" ref="J30" si="20">J29/J$9</f>
        <v>3.6170027139483168E-2</v>
      </c>
      <c r="K30" s="728">
        <f t="shared" ref="K30" si="21">K29/K$9</f>
        <v>3.4447644894745867E-2</v>
      </c>
      <c r="L30" s="728">
        <f t="shared" ref="L30" si="22">L29/L$9</f>
        <v>3.3444315431792104E-2</v>
      </c>
      <c r="M30" s="729">
        <f t="shared" ref="M30" si="23">M29/M$9</f>
        <v>3.247020915707971E-2</v>
      </c>
    </row>
    <row r="31" spans="2:13" ht="12.95" customHeight="1">
      <c r="B31" s="726" t="s">
        <v>292</v>
      </c>
      <c r="C31" s="666"/>
      <c r="D31" s="666"/>
      <c r="E31" s="666"/>
      <c r="F31" s="739">
        <f>AVERAGE(F30:M30)</f>
        <v>4.0306230017108709E-2</v>
      </c>
      <c r="G31" s="664"/>
      <c r="H31" s="664"/>
      <c r="I31" s="664"/>
      <c r="J31" s="664"/>
      <c r="K31" s="664"/>
      <c r="L31" s="664"/>
      <c r="M31" s="664"/>
    </row>
    <row r="32" spans="2:13" ht="5.0999999999999996" customHeight="1">
      <c r="B32" s="664"/>
      <c r="C32" s="664"/>
      <c r="D32" s="664"/>
      <c r="E32" s="664"/>
      <c r="F32" s="664"/>
      <c r="G32" s="664"/>
      <c r="H32" s="664"/>
      <c r="I32" s="664"/>
      <c r="J32" s="664"/>
      <c r="K32" s="664"/>
      <c r="L32" s="664"/>
      <c r="M32" s="664"/>
    </row>
    <row r="33" spans="2:13" ht="12.95" customHeight="1">
      <c r="B33" s="726" t="s">
        <v>298</v>
      </c>
      <c r="C33" s="666"/>
      <c r="D33" s="666"/>
      <c r="E33" s="666"/>
      <c r="F33" s="723">
        <f>'Non-Compete Agreement_A'!Y19</f>
        <v>376</v>
      </c>
      <c r="G33" s="723">
        <f>F33</f>
        <v>376</v>
      </c>
      <c r="H33" s="723">
        <f t="shared" ref="H33:M33" si="24">G33</f>
        <v>376</v>
      </c>
      <c r="I33" s="723">
        <f t="shared" si="24"/>
        <v>376</v>
      </c>
      <c r="J33" s="723">
        <f t="shared" si="24"/>
        <v>376</v>
      </c>
      <c r="K33" s="723">
        <f t="shared" si="24"/>
        <v>376</v>
      </c>
      <c r="L33" s="723">
        <f t="shared" si="24"/>
        <v>376</v>
      </c>
      <c r="M33" s="724">
        <f t="shared" si="24"/>
        <v>376</v>
      </c>
    </row>
    <row r="34" spans="2:13" ht="12.95" customHeight="1">
      <c r="B34" s="722" t="s">
        <v>290</v>
      </c>
      <c r="C34" s="666"/>
      <c r="D34" s="666"/>
      <c r="E34" s="728">
        <f>WARA!E18</f>
        <v>0.155</v>
      </c>
      <c r="F34" s="723">
        <f>$E$34*F33</f>
        <v>58.28</v>
      </c>
      <c r="G34" s="723">
        <f t="shared" ref="G34:M34" si="25">$E$34*G33</f>
        <v>58.28</v>
      </c>
      <c r="H34" s="723">
        <f t="shared" si="25"/>
        <v>58.28</v>
      </c>
      <c r="I34" s="723">
        <f t="shared" si="25"/>
        <v>58.28</v>
      </c>
      <c r="J34" s="723">
        <f t="shared" si="25"/>
        <v>58.28</v>
      </c>
      <c r="K34" s="723">
        <f t="shared" si="25"/>
        <v>58.28</v>
      </c>
      <c r="L34" s="723">
        <f t="shared" si="25"/>
        <v>58.28</v>
      </c>
      <c r="M34" s="723">
        <f t="shared" si="25"/>
        <v>58.28</v>
      </c>
    </row>
    <row r="35" spans="2:13" ht="12.95" customHeight="1">
      <c r="B35" s="722" t="s">
        <v>291</v>
      </c>
      <c r="C35" s="666"/>
      <c r="D35" s="666"/>
      <c r="E35" s="666"/>
      <c r="F35" s="728">
        <f>F34/F$9</f>
        <v>2.3410772699811269E-3</v>
      </c>
      <c r="G35" s="728">
        <f t="shared" ref="G35" si="26">G34/G$9</f>
        <v>1.6701440210782359E-3</v>
      </c>
      <c r="H35" s="728">
        <f t="shared" ref="H35" si="27">H34/H$9</f>
        <v>1.5707302247908758E-3</v>
      </c>
      <c r="I35" s="728">
        <f t="shared" ref="I35" si="28">I34/I$9</f>
        <v>1.4678857925954118E-3</v>
      </c>
      <c r="J35" s="728">
        <f t="shared" ref="J35" si="29">J34/J$9</f>
        <v>1.3715363531731496E-3</v>
      </c>
      <c r="K35" s="728">
        <f t="shared" ref="K35" si="30">K34/K$9</f>
        <v>1.3062250982601423E-3</v>
      </c>
      <c r="L35" s="728">
        <f t="shared" ref="L35" si="31">L34/L$9</f>
        <v>1.2681797070486819E-3</v>
      </c>
      <c r="M35" s="729">
        <f t="shared" ref="M35" si="32">M34/M$9</f>
        <v>1.2312424340278464E-3</v>
      </c>
    </row>
    <row r="36" spans="2:13" ht="12.95" customHeight="1">
      <c r="B36" s="726" t="s">
        <v>292</v>
      </c>
      <c r="C36" s="666"/>
      <c r="D36" s="666"/>
      <c r="E36" s="666"/>
      <c r="F36" s="739">
        <f>AVERAGE(F35:M35)</f>
        <v>1.5283776126194339E-3</v>
      </c>
      <c r="G36" s="664"/>
      <c r="H36" s="664"/>
      <c r="I36" s="664"/>
      <c r="J36" s="664"/>
      <c r="K36" s="664"/>
      <c r="L36" s="664"/>
      <c r="M36" s="664"/>
    </row>
    <row r="37" spans="2:13" ht="5.0999999999999996" customHeight="1">
      <c r="B37" s="664"/>
      <c r="C37" s="664"/>
      <c r="D37" s="664"/>
      <c r="E37" s="664"/>
      <c r="F37" s="664"/>
      <c r="G37" s="664"/>
      <c r="H37" s="664"/>
      <c r="I37" s="664"/>
      <c r="J37" s="664"/>
      <c r="K37" s="664"/>
      <c r="L37" s="664"/>
      <c r="M37" s="664"/>
    </row>
    <row r="38" spans="2:13" ht="12.95" customHeight="1">
      <c r="B38" s="726" t="s">
        <v>343</v>
      </c>
      <c r="C38" s="666"/>
      <c r="D38" s="666"/>
      <c r="E38" s="666"/>
      <c r="F38" s="723">
        <f>'Non-Compete Agreement_B'!Y19</f>
        <v>546</v>
      </c>
      <c r="G38" s="723">
        <f>F38</f>
        <v>546</v>
      </c>
      <c r="H38" s="723">
        <f t="shared" ref="H38:M38" si="33">G38</f>
        <v>546</v>
      </c>
      <c r="I38" s="723">
        <f t="shared" si="33"/>
        <v>546</v>
      </c>
      <c r="J38" s="723">
        <f t="shared" si="33"/>
        <v>546</v>
      </c>
      <c r="K38" s="723">
        <f t="shared" si="33"/>
        <v>546</v>
      </c>
      <c r="L38" s="723">
        <f t="shared" si="33"/>
        <v>546</v>
      </c>
      <c r="M38" s="724">
        <f t="shared" si="33"/>
        <v>546</v>
      </c>
    </row>
    <row r="39" spans="2:13" ht="12.95" customHeight="1">
      <c r="B39" s="722" t="s">
        <v>290</v>
      </c>
      <c r="C39" s="666"/>
      <c r="D39" s="666"/>
      <c r="E39" s="728">
        <f>WARA!E18</f>
        <v>0.155</v>
      </c>
      <c r="F39" s="723">
        <f>$E$34*F38</f>
        <v>84.63</v>
      </c>
      <c r="G39" s="723">
        <f t="shared" ref="G39" si="34">$E$34*G38</f>
        <v>84.63</v>
      </c>
      <c r="H39" s="723">
        <f t="shared" ref="H39" si="35">$E$34*H38</f>
        <v>84.63</v>
      </c>
      <c r="I39" s="723">
        <f t="shared" ref="I39" si="36">$E$34*I38</f>
        <v>84.63</v>
      </c>
      <c r="J39" s="723">
        <f t="shared" ref="J39" si="37">$E$34*J38</f>
        <v>84.63</v>
      </c>
      <c r="K39" s="723">
        <f t="shared" ref="K39" si="38">$E$34*K38</f>
        <v>84.63</v>
      </c>
      <c r="L39" s="723">
        <f t="shared" ref="L39" si="39">$E$34*L38</f>
        <v>84.63</v>
      </c>
      <c r="M39" s="723">
        <f t="shared" ref="M39" si="40">$E$34*M38</f>
        <v>84.63</v>
      </c>
    </row>
    <row r="40" spans="2:13" ht="12.95" customHeight="1">
      <c r="B40" s="722" t="s">
        <v>291</v>
      </c>
      <c r="C40" s="666"/>
      <c r="D40" s="666"/>
      <c r="E40" s="666"/>
      <c r="F40" s="728">
        <f>F39/F$9</f>
        <v>3.3995430569406784E-3</v>
      </c>
      <c r="G40" s="728">
        <f t="shared" ref="G40" si="41">G39/G$9</f>
        <v>2.4252623284806295E-3</v>
      </c>
      <c r="H40" s="728">
        <f t="shared" ref="H40" si="42">H39/H$9</f>
        <v>2.2809008051484525E-3</v>
      </c>
      <c r="I40" s="728">
        <f t="shared" ref="I40" si="43">I39/I$9</f>
        <v>2.1315575605241883E-3</v>
      </c>
      <c r="J40" s="728">
        <f t="shared" ref="J40" si="44">J39/J$9</f>
        <v>1.9916458745546264E-3</v>
      </c>
      <c r="K40" s="728">
        <f t="shared" ref="K40" si="45">K39/K$9</f>
        <v>1.89680559481393E-3</v>
      </c>
      <c r="L40" s="728">
        <f t="shared" ref="L40" si="46">L39/L$9</f>
        <v>1.8415588299164369E-3</v>
      </c>
      <c r="M40" s="729">
        <f t="shared" ref="M40" si="47">M39/M$9</f>
        <v>1.7879211940936279E-3</v>
      </c>
    </row>
    <row r="41" spans="2:13" ht="12.95" customHeight="1">
      <c r="B41" s="726" t="s">
        <v>292</v>
      </c>
      <c r="C41" s="666"/>
      <c r="D41" s="666"/>
      <c r="E41" s="666"/>
      <c r="F41" s="739">
        <f>AVERAGE(F40:M40)</f>
        <v>2.2193994055590715E-3</v>
      </c>
      <c r="G41" s="664"/>
      <c r="H41" s="664"/>
      <c r="I41" s="664"/>
      <c r="J41" s="664"/>
      <c r="K41" s="664"/>
      <c r="L41" s="664"/>
      <c r="M41" s="664"/>
    </row>
    <row r="42" spans="2:13" ht="5.0999999999999996" customHeight="1">
      <c r="B42" s="664"/>
      <c r="C42" s="664"/>
      <c r="D42" s="664"/>
      <c r="E42" s="664"/>
      <c r="F42" s="664"/>
      <c r="G42" s="664"/>
      <c r="H42" s="664"/>
      <c r="I42" s="664"/>
      <c r="J42" s="664"/>
      <c r="K42" s="664"/>
      <c r="L42" s="664"/>
      <c r="M42" s="664"/>
    </row>
    <row r="43" spans="2:13" ht="12.95" customHeight="1">
      <c r="B43" s="726" t="s">
        <v>342</v>
      </c>
      <c r="C43" s="666"/>
      <c r="D43" s="666"/>
      <c r="E43" s="727"/>
      <c r="F43" s="664"/>
      <c r="G43" s="664"/>
      <c r="H43" s="664"/>
      <c r="I43" s="664"/>
      <c r="J43" s="664"/>
      <c r="K43" s="664"/>
      <c r="L43" s="664"/>
      <c r="M43" s="664"/>
    </row>
    <row r="44" spans="2:13" ht="12.95" customHeight="1">
      <c r="B44" s="722" t="s">
        <v>40</v>
      </c>
      <c r="C44" s="666"/>
      <c r="D44" s="666"/>
      <c r="E44" s="740">
        <f>F36+F31+F26+F16+F41</f>
        <v>6.7794074499907389E-2</v>
      </c>
      <c r="F44" s="664"/>
      <c r="G44" s="664"/>
      <c r="H44" s="664"/>
      <c r="I44" s="664"/>
      <c r="J44" s="664"/>
      <c r="K44" s="664"/>
      <c r="L44" s="664"/>
      <c r="M44" s="664"/>
    </row>
    <row r="45" spans="2:1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2:1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>
      <c r="B48" s="3" t="s">
        <v>443</v>
      </c>
      <c r="C48" s="3"/>
      <c r="E48" s="3" t="s">
        <v>444</v>
      </c>
      <c r="F48" s="3"/>
      <c r="G48" s="3" t="s">
        <v>445</v>
      </c>
      <c r="H48" s="3"/>
      <c r="J48" s="3" t="s">
        <v>446</v>
      </c>
      <c r="K48" s="3"/>
      <c r="L48" s="3"/>
      <c r="M48" s="3"/>
    </row>
    <row r="49" spans="2:13">
      <c r="B49" s="3" t="s">
        <v>447</v>
      </c>
      <c r="C49" s="3"/>
      <c r="E49" s="818">
        <f>SUM(F16,F26,F31,F36,F41)</f>
        <v>6.7794074499907403E-2</v>
      </c>
      <c r="F49" s="3"/>
      <c r="G49" s="818">
        <f>'Trade Name and Trademarks'!$F$10</f>
        <v>3.5000000000000003E-2</v>
      </c>
      <c r="H49" s="3"/>
      <c r="I49" s="3"/>
      <c r="J49" s="818">
        <f>'Trade Name and Trademarks'!$F$10</f>
        <v>3.5000000000000003E-2</v>
      </c>
      <c r="K49" s="3"/>
      <c r="L49" s="3"/>
      <c r="M49" s="3"/>
    </row>
    <row r="50" spans="2:13">
      <c r="B50" s="3" t="s">
        <v>448</v>
      </c>
      <c r="C50" s="3"/>
      <c r="E50" s="818">
        <f>SUM(F16,F26,F31,F36,F41)</f>
        <v>6.7794074499907403E-2</v>
      </c>
      <c r="F50" s="3"/>
      <c r="G50" s="818">
        <f>'Trade Name and Trademarks'!$F$10</f>
        <v>3.5000000000000003E-2</v>
      </c>
      <c r="H50" s="3"/>
      <c r="I50" s="3"/>
      <c r="J50" s="818">
        <f>'Trade Name and Trademarks'!$F$10</f>
        <v>3.5000000000000003E-2</v>
      </c>
      <c r="K50" s="3"/>
      <c r="L50" s="3"/>
      <c r="M50" s="3"/>
    </row>
    <row r="51" spans="2:13">
      <c r="B51" s="3" t="s">
        <v>449</v>
      </c>
      <c r="C51" s="3"/>
      <c r="E51" s="818">
        <f>SUM(F16,F26,F31,F36,F41)</f>
        <v>6.7794074499907403E-2</v>
      </c>
      <c r="F51" s="3"/>
      <c r="G51" s="818">
        <f>'Trade Name and Trademarks'!$F$10</f>
        <v>3.5000000000000003E-2</v>
      </c>
      <c r="H51" s="3"/>
      <c r="I51" s="3"/>
      <c r="J51" s="818">
        <f>'Trade Name and Trademarks'!$F$10</f>
        <v>3.5000000000000003E-2</v>
      </c>
      <c r="K51" s="3"/>
      <c r="L51" s="3"/>
      <c r="M51" s="3"/>
    </row>
    <row r="52" spans="2:1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2:1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2:1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2:1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2:1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B7:E7"/>
    <mergeCell ref="G7:M7"/>
  </mergeCells>
  <pageMargins left="0.5" right="0.5" top="0.5" bottom="0.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7:N13"/>
  <sheetViews>
    <sheetView showGridLines="0" view="pageBreakPreview" zoomScale="55" zoomScaleNormal="100" zoomScaleSheetLayoutView="55" workbookViewId="0"/>
  </sheetViews>
  <sheetFormatPr defaultRowHeight="15"/>
  <sheetData>
    <row r="7" spans="2:14" ht="15.75" thickBot="1"/>
    <row r="8" spans="2:14">
      <c r="B8" s="761" t="s">
        <v>548</v>
      </c>
      <c r="C8" s="761"/>
      <c r="D8" s="761"/>
      <c r="E8" s="761"/>
      <c r="F8" s="761"/>
      <c r="G8" s="761"/>
      <c r="H8" s="761"/>
      <c r="I8" s="761"/>
      <c r="J8" s="761"/>
      <c r="K8" s="761"/>
      <c r="L8" s="761"/>
      <c r="M8" s="761"/>
      <c r="N8" s="761"/>
    </row>
    <row r="9" spans="2:14">
      <c r="B9" s="762"/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/>
    </row>
    <row r="10" spans="2:14">
      <c r="B10" s="762"/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</row>
    <row r="11" spans="2:14">
      <c r="B11" s="762"/>
      <c r="C11" s="762"/>
      <c r="D11" s="762"/>
      <c r="E11" s="762"/>
      <c r="F11" s="762"/>
      <c r="G11" s="762"/>
      <c r="H11" s="762"/>
      <c r="I11" s="762"/>
      <c r="J11" s="762"/>
      <c r="K11" s="762"/>
      <c r="L11" s="762"/>
      <c r="M11" s="762"/>
      <c r="N11" s="762"/>
    </row>
    <row r="12" spans="2:14">
      <c r="B12" s="762"/>
      <c r="C12" s="762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</row>
    <row r="13" spans="2:14" ht="15.75" thickBot="1"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</row>
  </sheetData>
  <mergeCells count="1">
    <mergeCell ref="B8:N13"/>
  </mergeCells>
  <pageMargins left="0.5" right="0.5" top="0.5" bottom="0.5" header="0.3" footer="0.3"/>
  <pageSetup scale="92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AD34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5.140625" customWidth="1"/>
    <col min="3" max="3" width="9.7109375" customWidth="1"/>
    <col min="4" max="4" width="2.7109375" customWidth="1"/>
    <col min="5" max="10" width="9.7109375" customWidth="1"/>
    <col min="11" max="11" width="2.7109375" customWidth="1"/>
    <col min="12" max="13" width="10.7109375" customWidth="1"/>
    <col min="14" max="14" width="3.5703125" customWidth="1"/>
    <col min="16" max="16" width="3.5703125" customWidth="1"/>
    <col min="17" max="17" width="25.140625" customWidth="1"/>
    <col min="18" max="18" width="9.7109375" customWidth="1"/>
    <col min="19" max="19" width="2.7109375" customWidth="1"/>
    <col min="20" max="25" width="9.7109375" customWidth="1"/>
    <col min="26" max="26" width="2.7109375" customWidth="1"/>
    <col min="27" max="28" width="10.7109375" customWidth="1"/>
    <col min="29" max="29" width="3.5703125" customWidth="1"/>
  </cols>
  <sheetData>
    <row r="1" spans="2:30" ht="15.75">
      <c r="B1" s="18" t="str">
        <f>Acq_name</f>
        <v>[Acq.Co. Holdings Ltd.]</v>
      </c>
      <c r="M1" s="34" t="str">
        <f>"Workpaper: "&amp;INDEX(TOC!$B$5:$E$34,MATCH($B$3,TOC!$E$5:$E$36,0),COLUMNS(TOC!I5))&amp;O1</f>
        <v>Workpaper: P.1</v>
      </c>
      <c r="N1" s="565"/>
      <c r="O1" s="377" t="s">
        <v>304</v>
      </c>
      <c r="Q1" s="18" t="str">
        <f t="shared" ref="Q1:Q4" si="0">B1</f>
        <v>[Acq.Co. Holdings Ltd.]</v>
      </c>
      <c r="AB1" s="34" t="str">
        <f>"Workpaper: "&amp;INDEX(TOC!$B$5:$E$34,MATCH($B$3,TOC!$E$5:$E$36,0),COLUMNS(TOC!X5))&amp;AD1</f>
        <v>Workpaper: P.2</v>
      </c>
      <c r="AC1" s="565"/>
      <c r="AD1" s="377" t="s">
        <v>305</v>
      </c>
    </row>
    <row r="2" spans="2:30">
      <c r="B2" s="19" t="str">
        <f>Targ_name</f>
        <v>[ABC Corporation]</v>
      </c>
      <c r="Q2" s="19" t="str">
        <f t="shared" si="0"/>
        <v>[ABC Corporation]</v>
      </c>
    </row>
    <row r="3" spans="2:30">
      <c r="B3" s="20" t="str">
        <f>TOC!E30</f>
        <v>Comparable Company Metrices</v>
      </c>
      <c r="Q3" s="20" t="str">
        <f t="shared" si="0"/>
        <v>Comparable Company Metrices</v>
      </c>
    </row>
    <row r="4" spans="2:30">
      <c r="B4" s="25" t="str">
        <f>"Valuation as of "&amp;TEXT(Val_date,"DD MMMM YYYY")</f>
        <v>Valuation as of 31 March 2020</v>
      </c>
      <c r="Q4" s="25" t="str">
        <f t="shared" si="0"/>
        <v>Valuation as of 31 March 2020</v>
      </c>
    </row>
    <row r="5" spans="2:30" ht="15.75" thickBo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30">
      <c r="B6" s="428"/>
      <c r="C6" s="433" t="s">
        <v>364</v>
      </c>
      <c r="D6" s="429"/>
      <c r="E6" s="429"/>
      <c r="F6" s="429"/>
      <c r="G6" s="429"/>
      <c r="H6" s="429"/>
      <c r="I6" s="429"/>
      <c r="J6" s="429"/>
      <c r="K6" s="429"/>
      <c r="L6" s="429" t="s">
        <v>350</v>
      </c>
      <c r="M6" s="430" t="s">
        <v>351</v>
      </c>
      <c r="N6" s="77"/>
      <c r="O6" s="77"/>
      <c r="P6" s="77"/>
      <c r="Q6" s="428"/>
      <c r="R6" s="433" t="s">
        <v>364</v>
      </c>
      <c r="S6" s="429"/>
      <c r="T6" s="429"/>
      <c r="U6" s="429"/>
      <c r="V6" s="429"/>
      <c r="W6" s="429"/>
      <c r="X6" s="429"/>
      <c r="Y6" s="429"/>
      <c r="Z6" s="429"/>
      <c r="AA6" s="429" t="s">
        <v>350</v>
      </c>
      <c r="AB6" s="430" t="s">
        <v>351</v>
      </c>
    </row>
    <row r="7" spans="2:30">
      <c r="B7" s="425" t="s">
        <v>72</v>
      </c>
      <c r="C7" s="434" t="s">
        <v>254</v>
      </c>
      <c r="D7" s="426"/>
      <c r="E7" s="427" t="s">
        <v>352</v>
      </c>
      <c r="F7" s="427" t="s">
        <v>353</v>
      </c>
      <c r="G7" s="427" t="s">
        <v>354</v>
      </c>
      <c r="H7" s="427" t="s">
        <v>355</v>
      </c>
      <c r="I7" s="427" t="s">
        <v>356</v>
      </c>
      <c r="J7" s="427" t="s">
        <v>357</v>
      </c>
      <c r="K7" s="426"/>
      <c r="L7" s="426" t="s">
        <v>164</v>
      </c>
      <c r="M7" s="431" t="s">
        <v>164</v>
      </c>
      <c r="N7" s="77"/>
      <c r="O7" s="77"/>
      <c r="P7" s="77"/>
      <c r="Q7" s="425" t="s">
        <v>340</v>
      </c>
      <c r="R7" s="434" t="s">
        <v>254</v>
      </c>
      <c r="S7" s="426"/>
      <c r="T7" s="427" t="s">
        <v>352</v>
      </c>
      <c r="U7" s="427" t="s">
        <v>353</v>
      </c>
      <c r="V7" s="427" t="s">
        <v>354</v>
      </c>
      <c r="W7" s="427" t="s">
        <v>355</v>
      </c>
      <c r="X7" s="427" t="s">
        <v>356</v>
      </c>
      <c r="Y7" s="427" t="s">
        <v>357</v>
      </c>
      <c r="Z7" s="426"/>
      <c r="AA7" s="426" t="s">
        <v>164</v>
      </c>
      <c r="AB7" s="431" t="s">
        <v>164</v>
      </c>
    </row>
    <row r="8" spans="2:30">
      <c r="B8" s="347"/>
      <c r="C8" s="348"/>
      <c r="D8" s="349"/>
      <c r="E8" s="353"/>
      <c r="F8" s="424"/>
      <c r="G8" s="424"/>
      <c r="H8" s="424"/>
      <c r="I8" s="424"/>
      <c r="J8" s="424"/>
      <c r="K8" s="348"/>
      <c r="L8" s="348"/>
      <c r="M8" s="432"/>
      <c r="N8" s="77"/>
      <c r="O8" s="77"/>
      <c r="P8" s="77"/>
      <c r="Q8" s="347"/>
      <c r="R8" s="348"/>
      <c r="S8" s="349"/>
      <c r="T8" s="353"/>
      <c r="U8" s="424"/>
      <c r="V8" s="424"/>
      <c r="W8" s="424"/>
      <c r="X8" s="424"/>
      <c r="Y8" s="424"/>
      <c r="Z8" s="348"/>
      <c r="AA8" s="348"/>
      <c r="AB8" s="432"/>
    </row>
    <row r="9" spans="2:30">
      <c r="B9" s="347" t="s">
        <v>358</v>
      </c>
      <c r="C9" s="435">
        <v>43830</v>
      </c>
      <c r="D9" s="352"/>
      <c r="E9" s="438">
        <v>9.8000000000000004E-2</v>
      </c>
      <c r="F9" s="438">
        <v>0.128</v>
      </c>
      <c r="G9" s="438">
        <v>9.8000000000000004E-2</v>
      </c>
      <c r="H9" s="438">
        <v>6.8000000000000005E-2</v>
      </c>
      <c r="I9" s="438">
        <v>7.8000000000000014E-2</v>
      </c>
      <c r="J9" s="438">
        <v>3.7999999999999999E-2</v>
      </c>
      <c r="K9" s="438"/>
      <c r="L9" s="436">
        <f t="shared" ref="L9" si="1">AVERAGE(G9:I9)</f>
        <v>8.1333333333333341E-2</v>
      </c>
      <c r="M9" s="437">
        <f t="shared" ref="M9" si="2">AVERAGE(E9:I9)</f>
        <v>9.4E-2</v>
      </c>
      <c r="N9" s="77"/>
      <c r="O9" s="77"/>
      <c r="P9" s="77"/>
      <c r="Q9" s="347" t="s">
        <v>358</v>
      </c>
      <c r="R9" s="435">
        <v>43830</v>
      </c>
      <c r="S9" s="352"/>
      <c r="T9" s="438">
        <v>0.38</v>
      </c>
      <c r="U9" s="438">
        <v>0.43</v>
      </c>
      <c r="V9" s="438">
        <v>0.39</v>
      </c>
      <c r="W9" s="438">
        <v>0.49</v>
      </c>
      <c r="X9" s="438">
        <v>0.35</v>
      </c>
      <c r="Y9" s="438">
        <v>0.44</v>
      </c>
      <c r="Z9" s="438"/>
      <c r="AA9" s="436">
        <f t="shared" ref="AA9:AA14" si="3">AVERAGE(V9:X9)</f>
        <v>0.41</v>
      </c>
      <c r="AB9" s="437">
        <f t="shared" ref="AB9:AB14" si="4">AVERAGE(T9:X9)</f>
        <v>0.40800000000000003</v>
      </c>
    </row>
    <row r="10" spans="2:30">
      <c r="B10" s="347" t="s">
        <v>359</v>
      </c>
      <c r="C10" s="435">
        <v>43830</v>
      </c>
      <c r="D10" s="358"/>
      <c r="E10" s="438">
        <v>8.7999999999999995E-2</v>
      </c>
      <c r="F10" s="438">
        <v>7.8000000000000014E-2</v>
      </c>
      <c r="G10" s="438">
        <v>0.128</v>
      </c>
      <c r="H10" s="438">
        <v>9.8000000000000004E-2</v>
      </c>
      <c r="I10" s="438">
        <v>7.8000000000000014E-2</v>
      </c>
      <c r="J10" s="438">
        <v>3.7999999999999999E-2</v>
      </c>
      <c r="K10" s="438"/>
      <c r="L10" s="436">
        <f t="shared" ref="L10:L14" si="5">AVERAGE(G10:I10)</f>
        <v>0.10133333333333334</v>
      </c>
      <c r="M10" s="437">
        <f t="shared" ref="M10:M14" si="6">AVERAGE(E10:I10)</f>
        <v>9.4E-2</v>
      </c>
      <c r="N10" s="77"/>
      <c r="O10" s="77"/>
      <c r="P10" s="77"/>
      <c r="Q10" s="347" t="s">
        <v>359</v>
      </c>
      <c r="R10" s="435">
        <v>43830</v>
      </c>
      <c r="S10" s="358"/>
      <c r="T10" s="438">
        <v>0.5</v>
      </c>
      <c r="U10" s="438">
        <v>0.49</v>
      </c>
      <c r="V10" s="438">
        <v>0.44</v>
      </c>
      <c r="W10" s="438">
        <v>0.38</v>
      </c>
      <c r="X10" s="438">
        <v>0.42</v>
      </c>
      <c r="Y10" s="438">
        <v>0.49</v>
      </c>
      <c r="Z10" s="438"/>
      <c r="AA10" s="436">
        <f t="shared" si="3"/>
        <v>0.41333333333333333</v>
      </c>
      <c r="AB10" s="437">
        <f t="shared" si="4"/>
        <v>0.44600000000000001</v>
      </c>
    </row>
    <row r="11" spans="2:30">
      <c r="B11" s="347" t="s">
        <v>360</v>
      </c>
      <c r="C11" s="435">
        <v>43830</v>
      </c>
      <c r="D11" s="358"/>
      <c r="E11" s="438">
        <v>0.128</v>
      </c>
      <c r="F11" s="438">
        <v>0.128</v>
      </c>
      <c r="G11" s="438">
        <v>6.8000000000000005E-2</v>
      </c>
      <c r="H11" s="438">
        <v>6.8000000000000005E-2</v>
      </c>
      <c r="I11" s="438">
        <v>7.8000000000000014E-2</v>
      </c>
      <c r="J11" s="438">
        <v>7.8000000000000014E-2</v>
      </c>
      <c r="K11" s="438"/>
      <c r="L11" s="436">
        <f t="shared" si="5"/>
        <v>7.1333333333333346E-2</v>
      </c>
      <c r="M11" s="437">
        <f t="shared" si="6"/>
        <v>9.4E-2</v>
      </c>
      <c r="N11" s="77"/>
      <c r="O11" s="77"/>
      <c r="P11" s="85"/>
      <c r="Q11" s="347" t="s">
        <v>360</v>
      </c>
      <c r="R11" s="435">
        <v>43830</v>
      </c>
      <c r="S11" s="358"/>
      <c r="T11" s="438">
        <v>0.43</v>
      </c>
      <c r="U11" s="438">
        <v>0.42</v>
      </c>
      <c r="V11" s="438">
        <v>0.35</v>
      </c>
      <c r="W11" s="438">
        <v>0.4</v>
      </c>
      <c r="X11" s="438">
        <v>0.36</v>
      </c>
      <c r="Y11" s="438">
        <v>0.41</v>
      </c>
      <c r="Z11" s="438"/>
      <c r="AA11" s="436">
        <f t="shared" si="3"/>
        <v>0.36999999999999994</v>
      </c>
      <c r="AB11" s="437">
        <f t="shared" si="4"/>
        <v>0.39200000000000002</v>
      </c>
    </row>
    <row r="12" spans="2:30">
      <c r="B12" s="347" t="s">
        <v>361</v>
      </c>
      <c r="C12" s="435">
        <v>43830</v>
      </c>
      <c r="D12" s="358"/>
      <c r="E12" s="438">
        <v>0.128</v>
      </c>
      <c r="F12" s="438">
        <v>0.10800000000000001</v>
      </c>
      <c r="G12" s="438">
        <v>5.8000000000000003E-2</v>
      </c>
      <c r="H12" s="438">
        <v>0.128</v>
      </c>
      <c r="I12" s="438">
        <v>9.8000000000000004E-2</v>
      </c>
      <c r="J12" s="438">
        <v>3.7999999999999999E-2</v>
      </c>
      <c r="K12" s="438"/>
      <c r="L12" s="436">
        <f t="shared" si="5"/>
        <v>9.4666666666666677E-2</v>
      </c>
      <c r="M12" s="437">
        <f t="shared" si="6"/>
        <v>0.10400000000000001</v>
      </c>
      <c r="N12" s="77"/>
      <c r="O12" s="77"/>
      <c r="P12" s="77"/>
      <c r="Q12" s="347" t="s">
        <v>361</v>
      </c>
      <c r="R12" s="435">
        <v>43830</v>
      </c>
      <c r="S12" s="358"/>
      <c r="T12" s="438">
        <v>0.35</v>
      </c>
      <c r="U12" s="438">
        <v>0.39</v>
      </c>
      <c r="V12" s="438">
        <v>0.45</v>
      </c>
      <c r="W12" s="438">
        <v>0.4</v>
      </c>
      <c r="X12" s="438">
        <v>0.37</v>
      </c>
      <c r="Y12" s="438">
        <v>0.47</v>
      </c>
      <c r="Z12" s="438"/>
      <c r="AA12" s="436">
        <f t="shared" si="3"/>
        <v>0.40666666666666673</v>
      </c>
      <c r="AB12" s="437">
        <f t="shared" si="4"/>
        <v>0.39200000000000002</v>
      </c>
    </row>
    <row r="13" spans="2:30">
      <c r="B13" s="347" t="s">
        <v>362</v>
      </c>
      <c r="C13" s="435">
        <v>43830</v>
      </c>
      <c r="D13" s="363"/>
      <c r="E13" s="438">
        <v>0.10800000000000001</v>
      </c>
      <c r="F13" s="438">
        <v>0.11799999999999999</v>
      </c>
      <c r="G13" s="438">
        <v>0.11799999999999999</v>
      </c>
      <c r="H13" s="438">
        <v>0.128</v>
      </c>
      <c r="I13" s="438">
        <v>9.8000000000000004E-2</v>
      </c>
      <c r="J13" s="438">
        <v>4.8000000000000001E-2</v>
      </c>
      <c r="K13" s="438"/>
      <c r="L13" s="436">
        <f t="shared" si="5"/>
        <v>0.11466666666666665</v>
      </c>
      <c r="M13" s="437">
        <f t="shared" si="6"/>
        <v>0.11399999999999999</v>
      </c>
      <c r="N13" s="77"/>
      <c r="O13" s="77"/>
      <c r="P13" s="77"/>
      <c r="Q13" s="347" t="s">
        <v>362</v>
      </c>
      <c r="R13" s="435">
        <v>43830</v>
      </c>
      <c r="S13" s="363"/>
      <c r="T13" s="438">
        <v>0.37</v>
      </c>
      <c r="U13" s="438">
        <v>0.45</v>
      </c>
      <c r="V13" s="438">
        <v>0.36</v>
      </c>
      <c r="W13" s="438">
        <v>0.45</v>
      </c>
      <c r="X13" s="438">
        <v>0.39</v>
      </c>
      <c r="Y13" s="438">
        <v>0.47</v>
      </c>
      <c r="Z13" s="438"/>
      <c r="AA13" s="436">
        <f t="shared" si="3"/>
        <v>0.40000000000000008</v>
      </c>
      <c r="AB13" s="437">
        <f t="shared" si="4"/>
        <v>0.40400000000000003</v>
      </c>
    </row>
    <row r="14" spans="2:30" ht="15.75" thickBot="1">
      <c r="B14" s="439" t="s">
        <v>363</v>
      </c>
      <c r="C14" s="440">
        <v>43830</v>
      </c>
      <c r="D14" s="441"/>
      <c r="E14" s="442">
        <v>7.8000000000000014E-2</v>
      </c>
      <c r="F14" s="442">
        <v>8.7999999999999995E-2</v>
      </c>
      <c r="G14" s="442">
        <v>9.8000000000000004E-2</v>
      </c>
      <c r="H14" s="442">
        <v>0.128</v>
      </c>
      <c r="I14" s="442">
        <v>6.8000000000000005E-2</v>
      </c>
      <c r="J14" s="442">
        <v>7.8000000000000014E-2</v>
      </c>
      <c r="K14" s="442"/>
      <c r="L14" s="443">
        <f t="shared" si="5"/>
        <v>9.8000000000000018E-2</v>
      </c>
      <c r="M14" s="444">
        <f t="shared" si="6"/>
        <v>9.1999999999999998E-2</v>
      </c>
      <c r="N14" s="77"/>
      <c r="O14" s="77"/>
      <c r="P14" s="77"/>
      <c r="Q14" s="439" t="s">
        <v>363</v>
      </c>
      <c r="R14" s="440">
        <v>43830</v>
      </c>
      <c r="S14" s="441"/>
      <c r="T14" s="442">
        <v>0.44</v>
      </c>
      <c r="U14" s="442">
        <v>0.49</v>
      </c>
      <c r="V14" s="442">
        <v>0.5</v>
      </c>
      <c r="W14" s="442">
        <v>0.39</v>
      </c>
      <c r="X14" s="442">
        <v>0.4</v>
      </c>
      <c r="Y14" s="442">
        <v>0.43</v>
      </c>
      <c r="Z14" s="442"/>
      <c r="AA14" s="443">
        <f t="shared" si="3"/>
        <v>0.43</v>
      </c>
      <c r="AB14" s="444">
        <f t="shared" si="4"/>
        <v>0.44399999999999995</v>
      </c>
    </row>
    <row r="15" spans="2:30" ht="2.1" customHeight="1" thickBot="1">
      <c r="B15" s="445"/>
      <c r="C15" s="446"/>
      <c r="D15" s="446"/>
      <c r="E15" s="447"/>
      <c r="F15" s="447"/>
      <c r="G15" s="447"/>
      <c r="H15" s="447"/>
      <c r="I15" s="447"/>
      <c r="J15" s="447"/>
      <c r="K15" s="448"/>
      <c r="L15" s="448"/>
      <c r="M15" s="448"/>
      <c r="N15" s="77"/>
      <c r="O15" s="77"/>
      <c r="P15" s="77"/>
      <c r="Q15" s="445"/>
      <c r="R15" s="446"/>
      <c r="S15" s="446"/>
      <c r="T15" s="447"/>
      <c r="U15" s="447"/>
      <c r="V15" s="447"/>
      <c r="W15" s="447"/>
      <c r="X15" s="447"/>
      <c r="Y15" s="447"/>
      <c r="Z15" s="448"/>
      <c r="AA15" s="448"/>
      <c r="AB15" s="448"/>
    </row>
    <row r="16" spans="2:30">
      <c r="B16" s="86"/>
      <c r="C16" s="449" t="s">
        <v>261</v>
      </c>
      <c r="D16" s="450"/>
      <c r="E16" s="452">
        <f>MAX(E9:E14)</f>
        <v>0.128</v>
      </c>
      <c r="F16" s="452">
        <f t="shared" ref="F16:M16" si="7">MAX(F9:F14)</f>
        <v>0.128</v>
      </c>
      <c r="G16" s="452">
        <f t="shared" si="7"/>
        <v>0.128</v>
      </c>
      <c r="H16" s="452">
        <f t="shared" si="7"/>
        <v>0.128</v>
      </c>
      <c r="I16" s="452">
        <f t="shared" si="7"/>
        <v>9.8000000000000004E-2</v>
      </c>
      <c r="J16" s="452">
        <f t="shared" si="7"/>
        <v>7.8000000000000014E-2</v>
      </c>
      <c r="K16" s="452"/>
      <c r="L16" s="452">
        <f t="shared" si="7"/>
        <v>0.11466666666666665</v>
      </c>
      <c r="M16" s="453">
        <f t="shared" si="7"/>
        <v>0.11399999999999999</v>
      </c>
      <c r="N16" s="77"/>
      <c r="O16" s="77"/>
      <c r="P16" s="77"/>
      <c r="Q16" s="86"/>
      <c r="R16" s="449" t="s">
        <v>261</v>
      </c>
      <c r="S16" s="450"/>
      <c r="T16" s="452">
        <f>MAX(T9:T14)</f>
        <v>0.5</v>
      </c>
      <c r="U16" s="452">
        <f t="shared" ref="U16:Y16" si="8">MAX(U9:U14)</f>
        <v>0.49</v>
      </c>
      <c r="V16" s="452">
        <f t="shared" si="8"/>
        <v>0.5</v>
      </c>
      <c r="W16" s="452">
        <f t="shared" si="8"/>
        <v>0.49</v>
      </c>
      <c r="X16" s="452">
        <f t="shared" si="8"/>
        <v>0.42</v>
      </c>
      <c r="Y16" s="452">
        <f t="shared" si="8"/>
        <v>0.49</v>
      </c>
      <c r="Z16" s="452"/>
      <c r="AA16" s="452">
        <f t="shared" ref="AA16:AB16" si="9">MAX(AA9:AA14)</f>
        <v>0.43</v>
      </c>
      <c r="AB16" s="453">
        <f t="shared" si="9"/>
        <v>0.44600000000000001</v>
      </c>
    </row>
    <row r="17" spans="2:28">
      <c r="B17" s="77"/>
      <c r="C17" s="366" t="s">
        <v>251</v>
      </c>
      <c r="D17" s="348"/>
      <c r="E17" s="454">
        <f t="shared" ref="E17:J17" si="10">AVERAGE(E9:E14)</f>
        <v>0.10466666666666669</v>
      </c>
      <c r="F17" s="454">
        <f t="shared" si="10"/>
        <v>0.108</v>
      </c>
      <c r="G17" s="454">
        <f t="shared" si="10"/>
        <v>9.4666666666666677E-2</v>
      </c>
      <c r="H17" s="454">
        <f t="shared" si="10"/>
        <v>0.10299999999999999</v>
      </c>
      <c r="I17" s="454">
        <f t="shared" si="10"/>
        <v>8.3000000000000004E-2</v>
      </c>
      <c r="J17" s="454">
        <f t="shared" si="10"/>
        <v>5.3000000000000012E-2</v>
      </c>
      <c r="K17" s="454"/>
      <c r="L17" s="454">
        <f>AVERAGE(L9:L14)</f>
        <v>9.3555555555555558E-2</v>
      </c>
      <c r="M17" s="455">
        <f>AVERAGE(M9:M14)</f>
        <v>9.8666666666666666E-2</v>
      </c>
      <c r="N17" s="77"/>
      <c r="O17" s="77"/>
      <c r="P17" s="77"/>
      <c r="Q17" s="77"/>
      <c r="R17" s="366" t="s">
        <v>251</v>
      </c>
      <c r="S17" s="348"/>
      <c r="T17" s="454">
        <f>AVERAGE(T9:T14)</f>
        <v>0.41166666666666668</v>
      </c>
      <c r="U17" s="454">
        <f t="shared" ref="U17:Y17" si="11">AVERAGE(U9:U14)</f>
        <v>0.44500000000000001</v>
      </c>
      <c r="V17" s="454">
        <f t="shared" si="11"/>
        <v>0.41500000000000004</v>
      </c>
      <c r="W17" s="454">
        <f t="shared" si="11"/>
        <v>0.41833333333333339</v>
      </c>
      <c r="X17" s="454">
        <f t="shared" si="11"/>
        <v>0.38166666666666665</v>
      </c>
      <c r="Y17" s="454">
        <f t="shared" si="11"/>
        <v>0.45166666666666666</v>
      </c>
      <c r="Z17" s="454"/>
      <c r="AA17" s="454">
        <f t="shared" ref="AA17:AB17" si="12">AVERAGE(AA9:AA14)</f>
        <v>0.40500000000000003</v>
      </c>
      <c r="AB17" s="455">
        <f t="shared" si="12"/>
        <v>0.41433333333333328</v>
      </c>
    </row>
    <row r="18" spans="2:28">
      <c r="B18" s="75"/>
      <c r="C18" s="366" t="s">
        <v>252</v>
      </c>
      <c r="D18" s="451"/>
      <c r="E18" s="456">
        <f t="shared" ref="E18:J18" si="13">MEDIAN(E9:E14)</f>
        <v>0.10300000000000001</v>
      </c>
      <c r="F18" s="456">
        <f t="shared" si="13"/>
        <v>0.113</v>
      </c>
      <c r="G18" s="456">
        <f t="shared" si="13"/>
        <v>9.8000000000000004E-2</v>
      </c>
      <c r="H18" s="456">
        <f t="shared" si="13"/>
        <v>0.113</v>
      </c>
      <c r="I18" s="456">
        <f t="shared" si="13"/>
        <v>7.8000000000000014E-2</v>
      </c>
      <c r="J18" s="456">
        <f t="shared" si="13"/>
        <v>4.2999999999999997E-2</v>
      </c>
      <c r="K18" s="456"/>
      <c r="L18" s="456">
        <f>MEDIAN(L9:L14)</f>
        <v>9.6333333333333354E-2</v>
      </c>
      <c r="M18" s="457">
        <f>MEDIAN(M9:M14)</f>
        <v>9.4E-2</v>
      </c>
      <c r="N18" s="77"/>
      <c r="O18" s="77"/>
      <c r="P18" s="77"/>
      <c r="Q18" s="75"/>
      <c r="R18" s="366" t="s">
        <v>252</v>
      </c>
      <c r="S18" s="451"/>
      <c r="T18" s="456">
        <f>MEDIAN(T9:T14)</f>
        <v>0.40500000000000003</v>
      </c>
      <c r="U18" s="456">
        <f t="shared" ref="U18:Y18" si="14">MEDIAN(U9:U14)</f>
        <v>0.44</v>
      </c>
      <c r="V18" s="456">
        <f t="shared" si="14"/>
        <v>0.41500000000000004</v>
      </c>
      <c r="W18" s="456">
        <f t="shared" si="14"/>
        <v>0.4</v>
      </c>
      <c r="X18" s="456">
        <f t="shared" si="14"/>
        <v>0.38</v>
      </c>
      <c r="Y18" s="456">
        <f t="shared" si="14"/>
        <v>0.45499999999999996</v>
      </c>
      <c r="Z18" s="456"/>
      <c r="AA18" s="456">
        <f t="shared" ref="AA18:AB18" si="15">MEDIAN(AA9:AA14)</f>
        <v>0.40833333333333333</v>
      </c>
      <c r="AB18" s="457">
        <f t="shared" si="15"/>
        <v>0.40600000000000003</v>
      </c>
    </row>
    <row r="19" spans="2:28" ht="15.75" thickBot="1">
      <c r="B19" s="77"/>
      <c r="C19" s="369" t="s">
        <v>260</v>
      </c>
      <c r="D19" s="372"/>
      <c r="E19" s="458">
        <f t="shared" ref="E19:J19" si="16">MIN(E9:E14)</f>
        <v>7.8000000000000014E-2</v>
      </c>
      <c r="F19" s="458">
        <f t="shared" si="16"/>
        <v>7.8000000000000014E-2</v>
      </c>
      <c r="G19" s="458">
        <f t="shared" si="16"/>
        <v>5.8000000000000003E-2</v>
      </c>
      <c r="H19" s="458">
        <f t="shared" si="16"/>
        <v>6.8000000000000005E-2</v>
      </c>
      <c r="I19" s="458">
        <f t="shared" si="16"/>
        <v>6.8000000000000005E-2</v>
      </c>
      <c r="J19" s="458">
        <f t="shared" si="16"/>
        <v>3.7999999999999999E-2</v>
      </c>
      <c r="K19" s="458"/>
      <c r="L19" s="458">
        <f>MIN(L9:L14)</f>
        <v>7.1333333333333346E-2</v>
      </c>
      <c r="M19" s="459">
        <f>MIN(M9:M14)</f>
        <v>9.1999999999999998E-2</v>
      </c>
      <c r="N19" s="77"/>
      <c r="O19" s="77"/>
      <c r="P19" s="77"/>
      <c r="Q19" s="77"/>
      <c r="R19" s="369" t="s">
        <v>260</v>
      </c>
      <c r="S19" s="372"/>
      <c r="T19" s="458">
        <f>MIN(T9:T14)</f>
        <v>0.35</v>
      </c>
      <c r="U19" s="458">
        <f t="shared" ref="U19:Y19" si="17">MIN(U9:U14)</f>
        <v>0.39</v>
      </c>
      <c r="V19" s="458">
        <f t="shared" si="17"/>
        <v>0.35</v>
      </c>
      <c r="W19" s="458">
        <f t="shared" si="17"/>
        <v>0.38</v>
      </c>
      <c r="X19" s="458">
        <f t="shared" si="17"/>
        <v>0.35</v>
      </c>
      <c r="Y19" s="458">
        <f t="shared" si="17"/>
        <v>0.41</v>
      </c>
      <c r="Z19" s="458"/>
      <c r="AA19" s="458">
        <f t="shared" ref="AA19:AB19" si="18">MIN(AA9:AA14)</f>
        <v>0.36999999999999994</v>
      </c>
      <c r="AB19" s="459">
        <f t="shared" si="18"/>
        <v>0.39200000000000002</v>
      </c>
    </row>
    <row r="20" spans="2:28" ht="15.75" thickBot="1">
      <c r="B20" s="79"/>
      <c r="C20" s="79"/>
      <c r="D20" s="79"/>
      <c r="E20" s="79"/>
      <c r="F20" s="79"/>
      <c r="G20" s="80"/>
      <c r="H20" s="77"/>
      <c r="I20" s="77"/>
      <c r="J20" s="77"/>
      <c r="K20" s="77"/>
      <c r="L20" s="77"/>
      <c r="M20" s="77"/>
      <c r="N20" s="77"/>
      <c r="O20" s="77"/>
      <c r="P20" s="77"/>
    </row>
    <row r="21" spans="2:28">
      <c r="B21" s="428"/>
      <c r="C21" s="433" t="s">
        <v>364</v>
      </c>
      <c r="D21" s="429"/>
      <c r="E21" s="429"/>
      <c r="F21" s="429"/>
      <c r="G21" s="429"/>
      <c r="H21" s="429"/>
      <c r="I21" s="429"/>
      <c r="J21" s="429"/>
      <c r="K21" s="429"/>
      <c r="L21" s="429" t="s">
        <v>350</v>
      </c>
      <c r="M21" s="430" t="s">
        <v>351</v>
      </c>
      <c r="N21" s="77"/>
      <c r="O21" s="77"/>
      <c r="P21" s="77"/>
      <c r="Q21" s="428"/>
      <c r="R21" s="433" t="s">
        <v>364</v>
      </c>
      <c r="S21" s="429"/>
      <c r="T21" s="429"/>
      <c r="U21" s="429"/>
      <c r="V21" s="429"/>
      <c r="W21" s="429"/>
      <c r="X21" s="429"/>
      <c r="Y21" s="429"/>
      <c r="Z21" s="429"/>
      <c r="AA21" s="429" t="s">
        <v>350</v>
      </c>
      <c r="AB21" s="430" t="s">
        <v>351</v>
      </c>
    </row>
    <row r="22" spans="2:28">
      <c r="B22" s="425" t="s">
        <v>366</v>
      </c>
      <c r="C22" s="434" t="s">
        <v>254</v>
      </c>
      <c r="D22" s="426"/>
      <c r="E22" s="427" t="s">
        <v>352</v>
      </c>
      <c r="F22" s="427" t="s">
        <v>353</v>
      </c>
      <c r="G22" s="427" t="s">
        <v>354</v>
      </c>
      <c r="H22" s="427" t="s">
        <v>355</v>
      </c>
      <c r="I22" s="427" t="s">
        <v>356</v>
      </c>
      <c r="J22" s="427" t="s">
        <v>357</v>
      </c>
      <c r="K22" s="426"/>
      <c r="L22" s="426" t="s">
        <v>164</v>
      </c>
      <c r="M22" s="431" t="s">
        <v>164</v>
      </c>
      <c r="Q22" s="425" t="s">
        <v>365</v>
      </c>
      <c r="R22" s="434" t="s">
        <v>254</v>
      </c>
      <c r="S22" s="426"/>
      <c r="T22" s="427" t="s">
        <v>352</v>
      </c>
      <c r="U22" s="427" t="s">
        <v>353</v>
      </c>
      <c r="V22" s="427" t="s">
        <v>354</v>
      </c>
      <c r="W22" s="427" t="s">
        <v>355</v>
      </c>
      <c r="X22" s="427" t="s">
        <v>356</v>
      </c>
      <c r="Y22" s="427" t="s">
        <v>357</v>
      </c>
      <c r="Z22" s="426"/>
      <c r="AA22" s="426" t="s">
        <v>164</v>
      </c>
      <c r="AB22" s="431" t="s">
        <v>164</v>
      </c>
    </row>
    <row r="23" spans="2:28">
      <c r="B23" s="347"/>
      <c r="C23" s="348"/>
      <c r="D23" s="349"/>
      <c r="E23" s="353"/>
      <c r="F23" s="424"/>
      <c r="G23" s="424"/>
      <c r="H23" s="424"/>
      <c r="I23" s="424"/>
      <c r="J23" s="424"/>
      <c r="K23" s="348"/>
      <c r="L23" s="348"/>
      <c r="M23" s="432"/>
      <c r="Q23" s="347"/>
      <c r="R23" s="348"/>
      <c r="S23" s="349"/>
      <c r="T23" s="353"/>
      <c r="U23" s="424"/>
      <c r="V23" s="424"/>
      <c r="W23" s="424"/>
      <c r="X23" s="424"/>
      <c r="Y23" s="424"/>
      <c r="Z23" s="348"/>
      <c r="AA23" s="348"/>
      <c r="AB23" s="432"/>
    </row>
    <row r="24" spans="2:28">
      <c r="B24" s="347" t="s">
        <v>358</v>
      </c>
      <c r="C24" s="435">
        <v>43830</v>
      </c>
      <c r="D24" s="352"/>
      <c r="E24" s="438">
        <v>0.77</v>
      </c>
      <c r="F24" s="438">
        <v>0.81</v>
      </c>
      <c r="G24" s="438">
        <v>0.88</v>
      </c>
      <c r="H24" s="438">
        <v>0.94</v>
      </c>
      <c r="I24" s="438">
        <v>0.93</v>
      </c>
      <c r="J24" s="438">
        <v>0.9</v>
      </c>
      <c r="K24" s="438"/>
      <c r="L24" s="436">
        <f t="shared" ref="L24:L29" si="19">AVERAGE(G24:I24)</f>
        <v>0.91666666666666663</v>
      </c>
      <c r="M24" s="437">
        <f t="shared" ref="M24:M29" si="20">AVERAGE(E24:I24)</f>
        <v>0.86599999999999999</v>
      </c>
      <c r="Q24" s="347" t="s">
        <v>358</v>
      </c>
      <c r="R24" s="435">
        <v>43830</v>
      </c>
      <c r="S24" s="352"/>
      <c r="T24" s="438">
        <v>0.26</v>
      </c>
      <c r="U24" s="438">
        <v>0.32</v>
      </c>
      <c r="V24" s="438">
        <v>0.27</v>
      </c>
      <c r="W24" s="438">
        <v>0.3</v>
      </c>
      <c r="X24" s="438">
        <v>0.33</v>
      </c>
      <c r="Y24" s="438">
        <v>0.33</v>
      </c>
      <c r="Z24" s="438"/>
      <c r="AA24" s="436">
        <f t="shared" ref="AA24:AA29" si="21">AVERAGE(V24:X24)</f>
        <v>0.30000000000000004</v>
      </c>
      <c r="AB24" s="437">
        <f t="shared" ref="AB24:AB29" si="22">AVERAGE(T24:X24)</f>
        <v>0.29600000000000004</v>
      </c>
    </row>
    <row r="25" spans="2:28">
      <c r="B25" s="347" t="s">
        <v>359</v>
      </c>
      <c r="C25" s="435">
        <v>43830</v>
      </c>
      <c r="D25" s="358"/>
      <c r="E25" s="438">
        <v>0.76</v>
      </c>
      <c r="F25" s="438">
        <v>0.84</v>
      </c>
      <c r="G25" s="438">
        <v>0.9</v>
      </c>
      <c r="H25" s="438">
        <v>0.88</v>
      </c>
      <c r="I25" s="438">
        <v>0.93</v>
      </c>
      <c r="J25" s="438">
        <v>0.86</v>
      </c>
      <c r="K25" s="438"/>
      <c r="L25" s="436">
        <f t="shared" si="19"/>
        <v>0.90333333333333332</v>
      </c>
      <c r="M25" s="437">
        <f t="shared" si="20"/>
        <v>0.86199999999999988</v>
      </c>
      <c r="Q25" s="347" t="s">
        <v>359</v>
      </c>
      <c r="R25" s="435">
        <v>43830</v>
      </c>
      <c r="S25" s="358"/>
      <c r="T25" s="438">
        <v>0.36</v>
      </c>
      <c r="U25" s="438">
        <v>0.25</v>
      </c>
      <c r="V25" s="438">
        <v>0.27</v>
      </c>
      <c r="W25" s="438">
        <v>0.32</v>
      </c>
      <c r="X25" s="438">
        <v>0.31</v>
      </c>
      <c r="Y25" s="438">
        <v>0.36</v>
      </c>
      <c r="Z25" s="438"/>
      <c r="AA25" s="436">
        <f t="shared" si="21"/>
        <v>0.30000000000000004</v>
      </c>
      <c r="AB25" s="437">
        <f t="shared" si="22"/>
        <v>0.30199999999999999</v>
      </c>
    </row>
    <row r="26" spans="2:28">
      <c r="B26" s="347" t="s">
        <v>360</v>
      </c>
      <c r="C26" s="435">
        <v>43830</v>
      </c>
      <c r="D26" s="358"/>
      <c r="E26" s="438">
        <v>0.77</v>
      </c>
      <c r="F26" s="438">
        <v>0.85</v>
      </c>
      <c r="G26" s="438">
        <v>0.9</v>
      </c>
      <c r="H26" s="438">
        <v>0.85</v>
      </c>
      <c r="I26" s="438">
        <v>0.94</v>
      </c>
      <c r="J26" s="438">
        <v>0.86</v>
      </c>
      <c r="K26" s="438"/>
      <c r="L26" s="436">
        <f t="shared" si="19"/>
        <v>0.89666666666666661</v>
      </c>
      <c r="M26" s="437">
        <f t="shared" si="20"/>
        <v>0.8620000000000001</v>
      </c>
      <c r="Q26" s="347" t="s">
        <v>360</v>
      </c>
      <c r="R26" s="435">
        <v>43830</v>
      </c>
      <c r="S26" s="358"/>
      <c r="T26" s="438">
        <v>0.3</v>
      </c>
      <c r="U26" s="438">
        <v>0.33</v>
      </c>
      <c r="V26" s="438">
        <v>0.35</v>
      </c>
      <c r="W26" s="438">
        <v>0.36</v>
      </c>
      <c r="X26" s="438">
        <v>0.35</v>
      </c>
      <c r="Y26" s="438">
        <v>0.37</v>
      </c>
      <c r="Z26" s="438"/>
      <c r="AA26" s="436">
        <f t="shared" si="21"/>
        <v>0.35333333333333333</v>
      </c>
      <c r="AB26" s="437">
        <f t="shared" si="22"/>
        <v>0.33799999999999997</v>
      </c>
    </row>
    <row r="27" spans="2:28">
      <c r="B27" s="347" t="s">
        <v>361</v>
      </c>
      <c r="C27" s="435">
        <v>43830</v>
      </c>
      <c r="D27" s="358"/>
      <c r="E27" s="438">
        <v>0.78</v>
      </c>
      <c r="F27" s="438">
        <v>0.82</v>
      </c>
      <c r="G27" s="438">
        <v>0.88</v>
      </c>
      <c r="H27" s="438">
        <v>0.9</v>
      </c>
      <c r="I27" s="438">
        <v>0.88</v>
      </c>
      <c r="J27" s="438">
        <v>0.91</v>
      </c>
      <c r="K27" s="438"/>
      <c r="L27" s="436">
        <f t="shared" si="19"/>
        <v>0.88666666666666671</v>
      </c>
      <c r="M27" s="437">
        <f t="shared" si="20"/>
        <v>0.85199999999999998</v>
      </c>
      <c r="Q27" s="347" t="s">
        <v>361</v>
      </c>
      <c r="R27" s="435">
        <v>43830</v>
      </c>
      <c r="S27" s="358"/>
      <c r="T27" s="438">
        <v>0.27</v>
      </c>
      <c r="U27" s="438">
        <v>0.32</v>
      </c>
      <c r="V27" s="438">
        <v>0.26</v>
      </c>
      <c r="W27" s="438">
        <v>0.39</v>
      </c>
      <c r="X27" s="438">
        <v>0.27</v>
      </c>
      <c r="Y27" s="438">
        <v>0.39</v>
      </c>
      <c r="Z27" s="438"/>
      <c r="AA27" s="436">
        <f t="shared" si="21"/>
        <v>0.3066666666666667</v>
      </c>
      <c r="AB27" s="437">
        <f t="shared" si="22"/>
        <v>0.30200000000000005</v>
      </c>
    </row>
    <row r="28" spans="2:28">
      <c r="B28" s="347" t="s">
        <v>362</v>
      </c>
      <c r="C28" s="435">
        <v>43830</v>
      </c>
      <c r="D28" s="363"/>
      <c r="E28" s="438">
        <v>0.78</v>
      </c>
      <c r="F28" s="438">
        <v>0.83</v>
      </c>
      <c r="G28" s="438">
        <v>0.87</v>
      </c>
      <c r="H28" s="438">
        <v>0.94</v>
      </c>
      <c r="I28" s="438">
        <v>0.91</v>
      </c>
      <c r="J28" s="438">
        <v>0.92</v>
      </c>
      <c r="K28" s="438"/>
      <c r="L28" s="436">
        <f t="shared" si="19"/>
        <v>0.90666666666666673</v>
      </c>
      <c r="M28" s="437">
        <f t="shared" si="20"/>
        <v>0.86599999999999999</v>
      </c>
      <c r="Q28" s="347" t="s">
        <v>362</v>
      </c>
      <c r="R28" s="435">
        <v>43830</v>
      </c>
      <c r="S28" s="363"/>
      <c r="T28" s="438">
        <v>0.28000000000000003</v>
      </c>
      <c r="U28" s="438">
        <v>0.37</v>
      </c>
      <c r="V28" s="438">
        <v>0.32</v>
      </c>
      <c r="W28" s="438">
        <v>0.38</v>
      </c>
      <c r="X28" s="438">
        <v>0.26</v>
      </c>
      <c r="Y28" s="438">
        <v>0.38</v>
      </c>
      <c r="Z28" s="438"/>
      <c r="AA28" s="436">
        <f t="shared" si="21"/>
        <v>0.32</v>
      </c>
      <c r="AB28" s="437">
        <f t="shared" si="22"/>
        <v>0.32200000000000001</v>
      </c>
    </row>
    <row r="29" spans="2:28" ht="15.75" thickBot="1">
      <c r="B29" s="439" t="s">
        <v>363</v>
      </c>
      <c r="C29" s="440">
        <v>43830</v>
      </c>
      <c r="D29" s="441"/>
      <c r="E29" s="442">
        <v>0.76</v>
      </c>
      <c r="F29" s="442">
        <v>0.84</v>
      </c>
      <c r="G29" s="442">
        <v>0.86</v>
      </c>
      <c r="H29" s="442">
        <v>0.91</v>
      </c>
      <c r="I29" s="442">
        <v>0.93</v>
      </c>
      <c r="J29" s="442">
        <v>0.92</v>
      </c>
      <c r="K29" s="442"/>
      <c r="L29" s="443">
        <f t="shared" si="19"/>
        <v>0.9</v>
      </c>
      <c r="M29" s="444">
        <f t="shared" si="20"/>
        <v>0.86</v>
      </c>
      <c r="Q29" s="439" t="s">
        <v>363</v>
      </c>
      <c r="R29" s="440">
        <v>43830</v>
      </c>
      <c r="S29" s="441"/>
      <c r="T29" s="442">
        <v>0.25</v>
      </c>
      <c r="U29" s="442">
        <v>0.31</v>
      </c>
      <c r="V29" s="442">
        <v>0.32</v>
      </c>
      <c r="W29" s="442">
        <v>0.37</v>
      </c>
      <c r="X29" s="442">
        <v>0.35</v>
      </c>
      <c r="Y29" s="442">
        <v>0.36</v>
      </c>
      <c r="Z29" s="442"/>
      <c r="AA29" s="443">
        <f t="shared" si="21"/>
        <v>0.34666666666666668</v>
      </c>
      <c r="AB29" s="444">
        <f t="shared" si="22"/>
        <v>0.32</v>
      </c>
    </row>
    <row r="30" spans="2:28" ht="2.1" customHeight="1" thickBot="1">
      <c r="B30" s="445"/>
      <c r="C30" s="446"/>
      <c r="D30" s="446"/>
      <c r="E30" s="447"/>
      <c r="F30" s="447"/>
      <c r="G30" s="447"/>
      <c r="H30" s="447"/>
      <c r="I30" s="447"/>
      <c r="J30" s="447"/>
      <c r="K30" s="448"/>
      <c r="L30" s="448"/>
      <c r="M30" s="448"/>
      <c r="Q30" s="445"/>
      <c r="R30" s="446"/>
      <c r="S30" s="446"/>
      <c r="T30" s="447"/>
      <c r="U30" s="447"/>
      <c r="V30" s="447"/>
      <c r="W30" s="447"/>
      <c r="X30" s="447"/>
      <c r="Y30" s="447"/>
      <c r="Z30" s="448"/>
      <c r="AA30" s="448"/>
      <c r="AB30" s="448"/>
    </row>
    <row r="31" spans="2:28">
      <c r="B31" s="86"/>
      <c r="C31" s="449" t="s">
        <v>261</v>
      </c>
      <c r="D31" s="450"/>
      <c r="E31" s="452">
        <f>MAX(E24:E29)</f>
        <v>0.78</v>
      </c>
      <c r="F31" s="452">
        <f t="shared" ref="F31:J31" si="23">MAX(F24:F29)</f>
        <v>0.85</v>
      </c>
      <c r="G31" s="452">
        <f t="shared" si="23"/>
        <v>0.9</v>
      </c>
      <c r="H31" s="452">
        <f t="shared" si="23"/>
        <v>0.94</v>
      </c>
      <c r="I31" s="452">
        <f t="shared" si="23"/>
        <v>0.94</v>
      </c>
      <c r="J31" s="452">
        <f t="shared" si="23"/>
        <v>0.92</v>
      </c>
      <c r="K31" s="452"/>
      <c r="L31" s="452">
        <f t="shared" ref="L31:M31" si="24">MAX(L24:L29)</f>
        <v>0.91666666666666663</v>
      </c>
      <c r="M31" s="453">
        <f t="shared" si="24"/>
        <v>0.86599999999999999</v>
      </c>
      <c r="Q31" s="86"/>
      <c r="R31" s="449" t="s">
        <v>261</v>
      </c>
      <c r="S31" s="450"/>
      <c r="T31" s="452">
        <f>MAX(T24:T29)</f>
        <v>0.36</v>
      </c>
      <c r="U31" s="452">
        <f t="shared" ref="U31:Y31" si="25">MAX(U24:U29)</f>
        <v>0.37</v>
      </c>
      <c r="V31" s="452">
        <f t="shared" si="25"/>
        <v>0.35</v>
      </c>
      <c r="W31" s="452">
        <f t="shared" si="25"/>
        <v>0.39</v>
      </c>
      <c r="X31" s="452">
        <f t="shared" si="25"/>
        <v>0.35</v>
      </c>
      <c r="Y31" s="452">
        <f t="shared" si="25"/>
        <v>0.39</v>
      </c>
      <c r="Z31" s="452"/>
      <c r="AA31" s="452">
        <f t="shared" ref="AA31:AB31" si="26">MAX(AA24:AA29)</f>
        <v>0.35333333333333333</v>
      </c>
      <c r="AB31" s="453">
        <f t="shared" si="26"/>
        <v>0.33799999999999997</v>
      </c>
    </row>
    <row r="32" spans="2:28">
      <c r="B32" s="77"/>
      <c r="C32" s="366" t="s">
        <v>251</v>
      </c>
      <c r="D32" s="348"/>
      <c r="E32" s="454">
        <f>AVERAGE(E24:E29)</f>
        <v>0.77</v>
      </c>
      <c r="F32" s="454">
        <f t="shared" ref="F32:J32" si="27">AVERAGE(F24:F29)</f>
        <v>0.83166666666666655</v>
      </c>
      <c r="G32" s="454">
        <f t="shared" si="27"/>
        <v>0.88166666666666671</v>
      </c>
      <c r="H32" s="454">
        <f t="shared" si="27"/>
        <v>0.90333333333333332</v>
      </c>
      <c r="I32" s="454">
        <f t="shared" si="27"/>
        <v>0.91999999999999993</v>
      </c>
      <c r="J32" s="454">
        <f t="shared" si="27"/>
        <v>0.89500000000000002</v>
      </c>
      <c r="K32" s="454"/>
      <c r="L32" s="454">
        <f t="shared" ref="L32:M32" si="28">AVERAGE(L24:L29)</f>
        <v>0.90166666666666673</v>
      </c>
      <c r="M32" s="455">
        <f t="shared" si="28"/>
        <v>0.8613333333333334</v>
      </c>
      <c r="Q32" s="77"/>
      <c r="R32" s="366" t="s">
        <v>251</v>
      </c>
      <c r="S32" s="348"/>
      <c r="T32" s="454">
        <f>AVERAGE(T24:T29)</f>
        <v>0.28666666666666668</v>
      </c>
      <c r="U32" s="454">
        <f t="shared" ref="U32:Y32" si="29">AVERAGE(U24:U29)</f>
        <v>0.31666666666666671</v>
      </c>
      <c r="V32" s="454">
        <f t="shared" si="29"/>
        <v>0.29833333333333334</v>
      </c>
      <c r="W32" s="454">
        <f t="shared" si="29"/>
        <v>0.35333333333333333</v>
      </c>
      <c r="X32" s="454">
        <f t="shared" si="29"/>
        <v>0.3116666666666667</v>
      </c>
      <c r="Y32" s="454">
        <f t="shared" si="29"/>
        <v>0.36499999999999999</v>
      </c>
      <c r="Z32" s="454"/>
      <c r="AA32" s="454">
        <f t="shared" ref="AA32:AB32" si="30">AVERAGE(AA24:AA29)</f>
        <v>0.32111111111111112</v>
      </c>
      <c r="AB32" s="455">
        <f t="shared" si="30"/>
        <v>0.31333333333333335</v>
      </c>
    </row>
    <row r="33" spans="2:28">
      <c r="B33" s="75"/>
      <c r="C33" s="366" t="s">
        <v>252</v>
      </c>
      <c r="D33" s="451"/>
      <c r="E33" s="456">
        <f>MEDIAN(E24:E29)</f>
        <v>0.77</v>
      </c>
      <c r="F33" s="456">
        <f t="shared" ref="F33:J33" si="31">MEDIAN(F24:F29)</f>
        <v>0.83499999999999996</v>
      </c>
      <c r="G33" s="456">
        <f t="shared" si="31"/>
        <v>0.88</v>
      </c>
      <c r="H33" s="456">
        <f t="shared" si="31"/>
        <v>0.90500000000000003</v>
      </c>
      <c r="I33" s="456">
        <f t="shared" si="31"/>
        <v>0.93</v>
      </c>
      <c r="J33" s="456">
        <f t="shared" si="31"/>
        <v>0.90500000000000003</v>
      </c>
      <c r="K33" s="456"/>
      <c r="L33" s="456">
        <f t="shared" ref="L33:M33" si="32">MEDIAN(L24:L29)</f>
        <v>0.90166666666666662</v>
      </c>
      <c r="M33" s="457">
        <f t="shared" si="32"/>
        <v>0.86199999999999999</v>
      </c>
      <c r="Q33" s="75"/>
      <c r="R33" s="366" t="s">
        <v>252</v>
      </c>
      <c r="S33" s="451"/>
      <c r="T33" s="456">
        <f>MEDIAN(T24:T29)</f>
        <v>0.27500000000000002</v>
      </c>
      <c r="U33" s="456">
        <f t="shared" ref="U33:Y33" si="33">MEDIAN(U24:U29)</f>
        <v>0.32</v>
      </c>
      <c r="V33" s="456">
        <f t="shared" si="33"/>
        <v>0.29500000000000004</v>
      </c>
      <c r="W33" s="456">
        <f t="shared" si="33"/>
        <v>0.36499999999999999</v>
      </c>
      <c r="X33" s="456">
        <f t="shared" si="33"/>
        <v>0.32</v>
      </c>
      <c r="Y33" s="456">
        <f t="shared" si="33"/>
        <v>0.36499999999999999</v>
      </c>
      <c r="Z33" s="456"/>
      <c r="AA33" s="456">
        <f t="shared" ref="AA33:AB33" si="34">MEDIAN(AA24:AA29)</f>
        <v>0.31333333333333335</v>
      </c>
      <c r="AB33" s="457">
        <f t="shared" si="34"/>
        <v>0.31100000000000005</v>
      </c>
    </row>
    <row r="34" spans="2:28" ht="15.75" thickBot="1">
      <c r="B34" s="77"/>
      <c r="C34" s="369" t="s">
        <v>260</v>
      </c>
      <c r="D34" s="372"/>
      <c r="E34" s="458">
        <f>MIN(E24:E29)</f>
        <v>0.76</v>
      </c>
      <c r="F34" s="458">
        <f t="shared" ref="F34:J34" si="35">MIN(F24:F29)</f>
        <v>0.81</v>
      </c>
      <c r="G34" s="458">
        <f t="shared" si="35"/>
        <v>0.86</v>
      </c>
      <c r="H34" s="458">
        <f t="shared" si="35"/>
        <v>0.85</v>
      </c>
      <c r="I34" s="458">
        <f t="shared" si="35"/>
        <v>0.88</v>
      </c>
      <c r="J34" s="458">
        <f t="shared" si="35"/>
        <v>0.86</v>
      </c>
      <c r="K34" s="458"/>
      <c r="L34" s="458">
        <f t="shared" ref="L34:M34" si="36">MIN(L24:L29)</f>
        <v>0.88666666666666671</v>
      </c>
      <c r="M34" s="459">
        <f t="shared" si="36"/>
        <v>0.85199999999999998</v>
      </c>
      <c r="Q34" s="77"/>
      <c r="R34" s="369" t="s">
        <v>260</v>
      </c>
      <c r="S34" s="372"/>
      <c r="T34" s="458">
        <f>MIN(T24:T29)</f>
        <v>0.25</v>
      </c>
      <c r="U34" s="458">
        <f t="shared" ref="U34:Y34" si="37">MIN(U24:U29)</f>
        <v>0.25</v>
      </c>
      <c r="V34" s="458">
        <f t="shared" si="37"/>
        <v>0.26</v>
      </c>
      <c r="W34" s="458">
        <f t="shared" si="37"/>
        <v>0.3</v>
      </c>
      <c r="X34" s="458">
        <f t="shared" si="37"/>
        <v>0.26</v>
      </c>
      <c r="Y34" s="458">
        <f t="shared" si="37"/>
        <v>0.33</v>
      </c>
      <c r="Z34" s="458"/>
      <c r="AA34" s="458">
        <f t="shared" ref="AA34:AB34" si="38">MIN(AA24:AA29)</f>
        <v>0.30000000000000004</v>
      </c>
      <c r="AB34" s="459">
        <f t="shared" si="38"/>
        <v>0.29600000000000004</v>
      </c>
    </row>
  </sheetData>
  <phoneticPr fontId="34" type="noConversion"/>
  <pageMargins left="0.5" right="0.5" top="0.5" bottom="0.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AD38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5.140625" customWidth="1"/>
    <col min="3" max="3" width="9.7109375" customWidth="1"/>
    <col min="4" max="4" width="2.7109375" customWidth="1"/>
    <col min="5" max="10" width="9.7109375" customWidth="1"/>
    <col min="11" max="11" width="2.7109375" customWidth="1"/>
    <col min="12" max="13" width="10.7109375" customWidth="1"/>
    <col min="14" max="14" width="3.5703125" customWidth="1"/>
    <col min="16" max="16" width="3.5703125" customWidth="1"/>
    <col min="17" max="17" width="25.140625" customWidth="1"/>
    <col min="18" max="18" width="9.7109375" customWidth="1"/>
    <col min="19" max="19" width="2.7109375" customWidth="1"/>
    <col min="20" max="25" width="9.7109375" customWidth="1"/>
    <col min="26" max="26" width="2.7109375" customWidth="1"/>
    <col min="27" max="28" width="10.7109375" customWidth="1"/>
    <col min="29" max="29" width="3.5703125" customWidth="1"/>
  </cols>
  <sheetData>
    <row r="1" spans="2:30" ht="15.75">
      <c r="B1" s="18" t="str">
        <f>Acq_name</f>
        <v>[Acq.Co. Holdings Ltd.]</v>
      </c>
      <c r="M1" s="34" t="str">
        <f>"Workpaper: "&amp;INDEX(TOC!$B$5:$E$34,MATCH($B$3,TOC!$E$5:$E$36,0),COLUMNS(TOC!I5))&amp;O1</f>
        <v>Workpaper: Q.1</v>
      </c>
      <c r="N1" s="565"/>
      <c r="O1" s="377" t="s">
        <v>304</v>
      </c>
      <c r="Q1" s="18" t="str">
        <f t="shared" ref="Q1:Q4" si="0">B1</f>
        <v>[Acq.Co. Holdings Ltd.]</v>
      </c>
      <c r="AB1" s="34" t="str">
        <f>"Workpaper: "&amp;INDEX(TOC!$B$5:$E$34,MATCH($B$3,TOC!$E$5:$E$36,0),COLUMNS(TOC!X5))&amp;AD1</f>
        <v>Workpaper: Q.2</v>
      </c>
      <c r="AC1" s="565"/>
      <c r="AD1" s="377" t="s">
        <v>305</v>
      </c>
    </row>
    <row r="2" spans="2:30">
      <c r="B2" s="19" t="str">
        <f>Targ_name</f>
        <v>[ABC Corporation]</v>
      </c>
      <c r="Q2" s="19" t="str">
        <f t="shared" si="0"/>
        <v>[ABC Corporation]</v>
      </c>
    </row>
    <row r="3" spans="2:30">
      <c r="B3" s="20" t="str">
        <f>TOC!E31</f>
        <v>Capital Expenditure, Depreciation &amp; NWC %revenue</v>
      </c>
      <c r="Q3" s="20" t="str">
        <f t="shared" si="0"/>
        <v>Capital Expenditure, Depreciation &amp; NWC %revenue</v>
      </c>
    </row>
    <row r="4" spans="2:30">
      <c r="B4" s="25" t="str">
        <f>"Valuation as of "&amp;TEXT(Val_date,"DD MMMM YYYY")</f>
        <v>Valuation as of 31 March 2020</v>
      </c>
      <c r="Q4" s="25" t="str">
        <f t="shared" si="0"/>
        <v>Valuation as of 31 March 2020</v>
      </c>
    </row>
    <row r="5" spans="2:30" ht="15.75" thickBo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2:30">
      <c r="B6" s="785" t="s">
        <v>367</v>
      </c>
      <c r="C6" s="433" t="s">
        <v>364</v>
      </c>
      <c r="D6" s="429"/>
      <c r="E6" s="429"/>
      <c r="F6" s="429"/>
      <c r="G6" s="429"/>
      <c r="H6" s="429"/>
      <c r="I6" s="429"/>
      <c r="J6" s="429"/>
      <c r="K6" s="429"/>
      <c r="L6" s="429" t="s">
        <v>350</v>
      </c>
      <c r="M6" s="430" t="s">
        <v>351</v>
      </c>
      <c r="N6" s="77"/>
      <c r="O6" s="77"/>
      <c r="P6" s="77"/>
      <c r="Q6" s="785" t="s">
        <v>369</v>
      </c>
      <c r="R6" s="433" t="s">
        <v>364</v>
      </c>
      <c r="S6" s="429"/>
      <c r="T6" s="429"/>
      <c r="U6" s="429"/>
      <c r="V6" s="429"/>
      <c r="W6" s="429"/>
      <c r="X6" s="429"/>
      <c r="Y6" s="429"/>
      <c r="Z6" s="429"/>
      <c r="AA6" s="429" t="s">
        <v>350</v>
      </c>
      <c r="AB6" s="430" t="s">
        <v>351</v>
      </c>
    </row>
    <row r="7" spans="2:30">
      <c r="B7" s="786"/>
      <c r="C7" s="434" t="s">
        <v>254</v>
      </c>
      <c r="D7" s="426"/>
      <c r="E7" s="427" t="s">
        <v>352</v>
      </c>
      <c r="F7" s="427" t="s">
        <v>353</v>
      </c>
      <c r="G7" s="427" t="s">
        <v>354</v>
      </c>
      <c r="H7" s="427" t="s">
        <v>355</v>
      </c>
      <c r="I7" s="427" t="s">
        <v>356</v>
      </c>
      <c r="J7" s="427" t="s">
        <v>357</v>
      </c>
      <c r="K7" s="426"/>
      <c r="L7" s="426" t="s">
        <v>164</v>
      </c>
      <c r="M7" s="431" t="s">
        <v>164</v>
      </c>
      <c r="N7" s="77"/>
      <c r="O7" s="77"/>
      <c r="P7" s="77"/>
      <c r="Q7" s="786"/>
      <c r="R7" s="434" t="s">
        <v>254</v>
      </c>
      <c r="S7" s="426"/>
      <c r="T7" s="427" t="s">
        <v>352</v>
      </c>
      <c r="U7" s="427" t="s">
        <v>353</v>
      </c>
      <c r="V7" s="427" t="s">
        <v>354</v>
      </c>
      <c r="W7" s="427" t="s">
        <v>355</v>
      </c>
      <c r="X7" s="427" t="s">
        <v>356</v>
      </c>
      <c r="Y7" s="427" t="s">
        <v>357</v>
      </c>
      <c r="Z7" s="426"/>
      <c r="AA7" s="426" t="s">
        <v>164</v>
      </c>
      <c r="AB7" s="431" t="s">
        <v>164</v>
      </c>
    </row>
    <row r="8" spans="2:30">
      <c r="B8" s="347"/>
      <c r="C8" s="348"/>
      <c r="D8" s="349"/>
      <c r="E8" s="353"/>
      <c r="F8" s="424"/>
      <c r="G8" s="424"/>
      <c r="H8" s="424"/>
      <c r="I8" s="424"/>
      <c r="J8" s="424"/>
      <c r="K8" s="348"/>
      <c r="L8" s="348"/>
      <c r="M8" s="432"/>
      <c r="N8" s="77"/>
      <c r="O8" s="77"/>
      <c r="P8" s="77"/>
      <c r="Q8" s="347"/>
      <c r="R8" s="348"/>
      <c r="S8" s="349"/>
      <c r="T8" s="353"/>
      <c r="U8" s="424"/>
      <c r="V8" s="424"/>
      <c r="W8" s="424"/>
      <c r="X8" s="424"/>
      <c r="Y8" s="424"/>
      <c r="Z8" s="348"/>
      <c r="AA8" s="348"/>
      <c r="AB8" s="432"/>
    </row>
    <row r="9" spans="2:30">
      <c r="B9" s="347" t="s">
        <v>358</v>
      </c>
      <c r="C9" s="435">
        <v>43830</v>
      </c>
      <c r="D9" s="352"/>
      <c r="E9" s="438">
        <v>0.05</v>
      </c>
      <c r="F9" s="438">
        <v>5.0500000000000003E-2</v>
      </c>
      <c r="G9" s="438">
        <v>5.0999999999999997E-2</v>
      </c>
      <c r="H9" s="438">
        <v>5.0999999999999997E-2</v>
      </c>
      <c r="I9" s="438">
        <v>5.1499999999999997E-2</v>
      </c>
      <c r="J9" s="438">
        <v>4.9500000000000002E-2</v>
      </c>
      <c r="K9" s="438"/>
      <c r="L9" s="436">
        <f t="shared" ref="L9:L14" si="1">AVERAGE(G9:I9)</f>
        <v>5.1166666666666666E-2</v>
      </c>
      <c r="M9" s="437">
        <f t="shared" ref="M9:M14" si="2">AVERAGE(E9:I9)</f>
        <v>5.0799999999999998E-2</v>
      </c>
      <c r="N9" s="77"/>
      <c r="O9" s="77"/>
      <c r="P9" s="77"/>
      <c r="Q9" s="347" t="s">
        <v>358</v>
      </c>
      <c r="R9" s="435">
        <v>43830</v>
      </c>
      <c r="S9" s="352"/>
      <c r="T9" s="438">
        <v>0.35399999999999998</v>
      </c>
      <c r="U9" s="438">
        <v>0.35749999999999998</v>
      </c>
      <c r="V9" s="438">
        <v>0.35749999999999998</v>
      </c>
      <c r="W9" s="438">
        <v>0.35749999999999998</v>
      </c>
      <c r="X9" s="438">
        <v>0.35749999999999998</v>
      </c>
      <c r="Y9" s="438">
        <v>0.35749999999999998</v>
      </c>
      <c r="Z9" s="438"/>
      <c r="AA9" s="436">
        <f t="shared" ref="AA9:AA14" si="3">AVERAGE(V9:X9)</f>
        <v>0.35749999999999998</v>
      </c>
      <c r="AB9" s="437">
        <f t="shared" ref="AB9:AB14" si="4">AVERAGE(T9:X9)</f>
        <v>0.35679999999999995</v>
      </c>
    </row>
    <row r="10" spans="2:30">
      <c r="B10" s="347" t="s">
        <v>359</v>
      </c>
      <c r="C10" s="435">
        <v>43830</v>
      </c>
      <c r="D10" s="358"/>
      <c r="E10" s="438">
        <v>0.06</v>
      </c>
      <c r="F10" s="438">
        <v>6.0600000000000001E-2</v>
      </c>
      <c r="G10" s="438">
        <v>6.1199999999999997E-2</v>
      </c>
      <c r="H10" s="438">
        <v>6.1199999999999997E-2</v>
      </c>
      <c r="I10" s="438">
        <v>6.1800000000000001E-2</v>
      </c>
      <c r="J10" s="438">
        <v>5.9400000000000001E-2</v>
      </c>
      <c r="K10" s="438"/>
      <c r="L10" s="436">
        <f t="shared" si="1"/>
        <v>6.1400000000000003E-2</v>
      </c>
      <c r="M10" s="437">
        <f t="shared" si="2"/>
        <v>6.096E-2</v>
      </c>
      <c r="N10" s="77"/>
      <c r="O10" s="77"/>
      <c r="P10" s="77"/>
      <c r="Q10" s="347" t="s">
        <v>359</v>
      </c>
      <c r="R10" s="435">
        <v>43830</v>
      </c>
      <c r="S10" s="358"/>
      <c r="T10" s="438">
        <v>0.33700000000000002</v>
      </c>
      <c r="U10" s="438">
        <v>0.34039999999999998</v>
      </c>
      <c r="V10" s="438">
        <v>0.34039999999999998</v>
      </c>
      <c r="W10" s="438">
        <v>0.34039999999999998</v>
      </c>
      <c r="X10" s="438">
        <v>0.34039999999999998</v>
      </c>
      <c r="Y10" s="438">
        <v>0.34039999999999998</v>
      </c>
      <c r="Z10" s="438"/>
      <c r="AA10" s="436">
        <f t="shared" si="3"/>
        <v>0.34039999999999998</v>
      </c>
      <c r="AB10" s="437">
        <f t="shared" si="4"/>
        <v>0.33972000000000002</v>
      </c>
    </row>
    <row r="11" spans="2:30">
      <c r="B11" s="347" t="s">
        <v>360</v>
      </c>
      <c r="C11" s="435">
        <v>43830</v>
      </c>
      <c r="D11" s="358"/>
      <c r="E11" s="438">
        <v>7.0000000000000007E-2</v>
      </c>
      <c r="F11" s="438">
        <v>7.0699999999999999E-2</v>
      </c>
      <c r="G11" s="438">
        <v>7.1400000000000005E-2</v>
      </c>
      <c r="H11" s="438">
        <v>7.1400000000000005E-2</v>
      </c>
      <c r="I11" s="438">
        <v>7.2099999999999997E-2</v>
      </c>
      <c r="J11" s="438">
        <v>6.93E-2</v>
      </c>
      <c r="K11" s="438"/>
      <c r="L11" s="436">
        <f t="shared" si="1"/>
        <v>7.1633333333333341E-2</v>
      </c>
      <c r="M11" s="437">
        <f t="shared" si="2"/>
        <v>7.1120000000000003E-2</v>
      </c>
      <c r="N11" s="77"/>
      <c r="O11" s="77"/>
      <c r="P11" s="85"/>
      <c r="Q11" s="347" t="s">
        <v>360</v>
      </c>
      <c r="R11" s="435">
        <v>43830</v>
      </c>
      <c r="S11" s="358"/>
      <c r="T11" s="438">
        <v>0.33</v>
      </c>
      <c r="U11" s="438">
        <v>0.33329999999999999</v>
      </c>
      <c r="V11" s="438">
        <v>0.33329999999999999</v>
      </c>
      <c r="W11" s="438">
        <v>0.33329999999999999</v>
      </c>
      <c r="X11" s="438">
        <v>0.33329999999999999</v>
      </c>
      <c r="Y11" s="438">
        <v>0.33329999999999999</v>
      </c>
      <c r="Z11" s="438"/>
      <c r="AA11" s="436">
        <f t="shared" si="3"/>
        <v>0.33329999999999999</v>
      </c>
      <c r="AB11" s="437">
        <f t="shared" si="4"/>
        <v>0.33263999999999994</v>
      </c>
    </row>
    <row r="12" spans="2:30">
      <c r="B12" s="347" t="s">
        <v>361</v>
      </c>
      <c r="C12" s="435">
        <v>43830</v>
      </c>
      <c r="D12" s="358"/>
      <c r="E12" s="438">
        <v>0.04</v>
      </c>
      <c r="F12" s="438">
        <v>4.0399999999999998E-2</v>
      </c>
      <c r="G12" s="438">
        <v>4.0800000000000003E-2</v>
      </c>
      <c r="H12" s="438">
        <v>4.0800000000000003E-2</v>
      </c>
      <c r="I12" s="438">
        <v>4.1200000000000001E-2</v>
      </c>
      <c r="J12" s="438">
        <v>3.9600000000000003E-2</v>
      </c>
      <c r="K12" s="438"/>
      <c r="L12" s="436">
        <f t="shared" si="1"/>
        <v>4.0933333333333335E-2</v>
      </c>
      <c r="M12" s="437">
        <f t="shared" si="2"/>
        <v>4.0639999999999996E-2</v>
      </c>
      <c r="N12" s="77"/>
      <c r="O12" s="77"/>
      <c r="P12" s="77"/>
      <c r="Q12" s="347" t="s">
        <v>361</v>
      </c>
      <c r="R12" s="435">
        <v>43830</v>
      </c>
      <c r="S12" s="358"/>
      <c r="T12" s="438">
        <v>0.252</v>
      </c>
      <c r="U12" s="438">
        <v>0.2545</v>
      </c>
      <c r="V12" s="438">
        <v>0.2545</v>
      </c>
      <c r="W12" s="438">
        <v>0.2545</v>
      </c>
      <c r="X12" s="438">
        <v>0.2545</v>
      </c>
      <c r="Y12" s="438">
        <v>0.2545</v>
      </c>
      <c r="Z12" s="438"/>
      <c r="AA12" s="436">
        <f t="shared" si="3"/>
        <v>0.2545</v>
      </c>
      <c r="AB12" s="437">
        <f t="shared" si="4"/>
        <v>0.25399999999999995</v>
      </c>
    </row>
    <row r="13" spans="2:30">
      <c r="B13" s="347" t="s">
        <v>362</v>
      </c>
      <c r="C13" s="435">
        <v>43830</v>
      </c>
      <c r="D13" s="363"/>
      <c r="E13" s="438">
        <v>0.02</v>
      </c>
      <c r="F13" s="438">
        <v>2.0199999999999999E-2</v>
      </c>
      <c r="G13" s="438">
        <v>2.0400000000000001E-2</v>
      </c>
      <c r="H13" s="438">
        <v>2.0400000000000001E-2</v>
      </c>
      <c r="I13" s="438">
        <v>2.06E-2</v>
      </c>
      <c r="J13" s="438">
        <v>1.9800000000000002E-2</v>
      </c>
      <c r="K13" s="438"/>
      <c r="L13" s="436">
        <f t="shared" si="1"/>
        <v>2.0466666666666668E-2</v>
      </c>
      <c r="M13" s="437">
        <f t="shared" si="2"/>
        <v>2.0319999999999998E-2</v>
      </c>
      <c r="N13" s="77"/>
      <c r="O13" s="77"/>
      <c r="P13" s="77"/>
      <c r="Q13" s="347" t="s">
        <v>362</v>
      </c>
      <c r="R13" s="435">
        <v>43830</v>
      </c>
      <c r="S13" s="363"/>
      <c r="T13" s="438">
        <v>0.27200000000000002</v>
      </c>
      <c r="U13" s="438">
        <v>0.2747</v>
      </c>
      <c r="V13" s="438">
        <v>0.2747</v>
      </c>
      <c r="W13" s="438">
        <v>0.2747</v>
      </c>
      <c r="X13" s="438">
        <v>0.2747</v>
      </c>
      <c r="Y13" s="438">
        <v>0.2747</v>
      </c>
      <c r="Z13" s="438"/>
      <c r="AA13" s="436">
        <f t="shared" si="3"/>
        <v>0.2747</v>
      </c>
      <c r="AB13" s="437">
        <f t="shared" si="4"/>
        <v>0.27415999999999996</v>
      </c>
    </row>
    <row r="14" spans="2:30" ht="15.75" thickBot="1">
      <c r="B14" s="439" t="s">
        <v>363</v>
      </c>
      <c r="C14" s="440">
        <v>43830</v>
      </c>
      <c r="D14" s="441"/>
      <c r="E14" s="442">
        <v>0.06</v>
      </c>
      <c r="F14" s="442">
        <v>6.0600000000000001E-2</v>
      </c>
      <c r="G14" s="442">
        <v>6.1199999999999997E-2</v>
      </c>
      <c r="H14" s="442">
        <v>6.1199999999999997E-2</v>
      </c>
      <c r="I14" s="442">
        <v>6.1800000000000001E-2</v>
      </c>
      <c r="J14" s="442">
        <v>5.9400000000000001E-2</v>
      </c>
      <c r="K14" s="442"/>
      <c r="L14" s="443">
        <f t="shared" si="1"/>
        <v>6.1400000000000003E-2</v>
      </c>
      <c r="M14" s="444">
        <f t="shared" si="2"/>
        <v>6.096E-2</v>
      </c>
      <c r="N14" s="77"/>
      <c r="O14" s="77"/>
      <c r="P14" s="77"/>
      <c r="Q14" s="439" t="s">
        <v>363</v>
      </c>
      <c r="R14" s="440">
        <v>43830</v>
      </c>
      <c r="S14" s="441"/>
      <c r="T14" s="442">
        <v>0.17100000000000001</v>
      </c>
      <c r="U14" s="442">
        <v>0.17269999999999999</v>
      </c>
      <c r="V14" s="442">
        <v>0.17269999999999999</v>
      </c>
      <c r="W14" s="442">
        <v>0.17269999999999999</v>
      </c>
      <c r="X14" s="442">
        <v>0.17269999999999999</v>
      </c>
      <c r="Y14" s="442">
        <v>0.17269999999999999</v>
      </c>
      <c r="Z14" s="442"/>
      <c r="AA14" s="443">
        <f t="shared" si="3"/>
        <v>0.17269999999999999</v>
      </c>
      <c r="AB14" s="444">
        <f t="shared" si="4"/>
        <v>0.17235999999999999</v>
      </c>
    </row>
    <row r="15" spans="2:30" ht="2.1" customHeight="1" thickBot="1">
      <c r="B15" s="445"/>
      <c r="C15" s="446"/>
      <c r="D15" s="446"/>
      <c r="E15" s="447"/>
      <c r="F15" s="447"/>
      <c r="G15" s="447"/>
      <c r="H15" s="447"/>
      <c r="I15" s="447"/>
      <c r="J15" s="447"/>
      <c r="K15" s="448"/>
      <c r="L15" s="448"/>
      <c r="M15" s="448"/>
      <c r="N15" s="77"/>
      <c r="O15" s="77"/>
      <c r="P15" s="77"/>
      <c r="Q15" s="445"/>
      <c r="R15" s="446"/>
      <c r="S15" s="446"/>
      <c r="T15" s="447"/>
      <c r="U15" s="447"/>
      <c r="V15" s="447"/>
      <c r="W15" s="447"/>
      <c r="X15" s="447"/>
      <c r="Y15" s="447"/>
      <c r="Z15" s="448"/>
      <c r="AA15" s="448"/>
      <c r="AB15" s="448"/>
    </row>
    <row r="16" spans="2:30">
      <c r="B16" s="86"/>
      <c r="C16" s="449" t="s">
        <v>261</v>
      </c>
      <c r="D16" s="450"/>
      <c r="E16" s="452">
        <f>MAX(E9:E14)</f>
        <v>7.0000000000000007E-2</v>
      </c>
      <c r="F16" s="452">
        <f t="shared" ref="F16:M16" si="5">MAX(F9:F14)</f>
        <v>7.0699999999999999E-2</v>
      </c>
      <c r="G16" s="452">
        <f t="shared" si="5"/>
        <v>7.1400000000000005E-2</v>
      </c>
      <c r="H16" s="452">
        <f t="shared" si="5"/>
        <v>7.1400000000000005E-2</v>
      </c>
      <c r="I16" s="452">
        <f t="shared" si="5"/>
        <v>7.2099999999999997E-2</v>
      </c>
      <c r="J16" s="452">
        <f t="shared" si="5"/>
        <v>6.93E-2</v>
      </c>
      <c r="K16" s="452"/>
      <c r="L16" s="452">
        <f t="shared" si="5"/>
        <v>7.1633333333333341E-2</v>
      </c>
      <c r="M16" s="453">
        <f t="shared" si="5"/>
        <v>7.1120000000000003E-2</v>
      </c>
      <c r="N16" s="77"/>
      <c r="O16" s="77"/>
      <c r="P16" s="77"/>
      <c r="Q16" s="86"/>
      <c r="R16" s="449" t="s">
        <v>261</v>
      </c>
      <c r="S16" s="450"/>
      <c r="T16" s="452">
        <f>MAX(T9:T14)</f>
        <v>0.35399999999999998</v>
      </c>
      <c r="U16" s="452">
        <f t="shared" ref="U16:Y16" si="6">MAX(U9:U14)</f>
        <v>0.35749999999999998</v>
      </c>
      <c r="V16" s="452">
        <f t="shared" si="6"/>
        <v>0.35749999999999998</v>
      </c>
      <c r="W16" s="452">
        <f t="shared" si="6"/>
        <v>0.35749999999999998</v>
      </c>
      <c r="X16" s="452">
        <f t="shared" si="6"/>
        <v>0.35749999999999998</v>
      </c>
      <c r="Y16" s="452">
        <f t="shared" si="6"/>
        <v>0.35749999999999998</v>
      </c>
      <c r="Z16" s="452"/>
      <c r="AA16" s="452">
        <f t="shared" ref="AA16:AB16" si="7">MAX(AA9:AA14)</f>
        <v>0.35749999999999998</v>
      </c>
      <c r="AB16" s="453">
        <f t="shared" si="7"/>
        <v>0.35679999999999995</v>
      </c>
    </row>
    <row r="17" spans="2:29">
      <c r="B17" s="77"/>
      <c r="C17" s="366" t="s">
        <v>251</v>
      </c>
      <c r="D17" s="348"/>
      <c r="E17" s="454">
        <f t="shared" ref="E17:J17" si="8">AVERAGE(E9:E14)</f>
        <v>4.9999999999999996E-2</v>
      </c>
      <c r="F17" s="454">
        <f t="shared" si="8"/>
        <v>5.0499999999999996E-2</v>
      </c>
      <c r="G17" s="454">
        <f t="shared" si="8"/>
        <v>5.0999999999999997E-2</v>
      </c>
      <c r="H17" s="454">
        <f t="shared" si="8"/>
        <v>5.0999999999999997E-2</v>
      </c>
      <c r="I17" s="454">
        <f t="shared" si="8"/>
        <v>5.1500000000000011E-2</v>
      </c>
      <c r="J17" s="454">
        <f t="shared" si="8"/>
        <v>4.9499999999999995E-2</v>
      </c>
      <c r="K17" s="454"/>
      <c r="L17" s="454">
        <f>AVERAGE(L9:L14)</f>
        <v>5.1166666666666666E-2</v>
      </c>
      <c r="M17" s="455">
        <f>AVERAGE(M9:M14)</f>
        <v>5.0800000000000005E-2</v>
      </c>
      <c r="N17" s="77"/>
      <c r="O17" s="77"/>
      <c r="P17" s="77"/>
      <c r="Q17" s="77"/>
      <c r="R17" s="366" t="s">
        <v>251</v>
      </c>
      <c r="S17" s="348"/>
      <c r="T17" s="454">
        <f>AVERAGE(T9:T14)</f>
        <v>0.28600000000000003</v>
      </c>
      <c r="U17" s="454">
        <f t="shared" ref="U17:Y17" si="9">AVERAGE(U9:U14)</f>
        <v>0.28885</v>
      </c>
      <c r="V17" s="454">
        <f t="shared" si="9"/>
        <v>0.28885</v>
      </c>
      <c r="W17" s="454">
        <f t="shared" si="9"/>
        <v>0.28885</v>
      </c>
      <c r="X17" s="454">
        <f t="shared" si="9"/>
        <v>0.28885</v>
      </c>
      <c r="Y17" s="454">
        <f t="shared" si="9"/>
        <v>0.28885</v>
      </c>
      <c r="Z17" s="454"/>
      <c r="AA17" s="454">
        <f t="shared" ref="AA17:AB17" si="10">AVERAGE(AA9:AA14)</f>
        <v>0.28885</v>
      </c>
      <c r="AB17" s="455">
        <f t="shared" si="10"/>
        <v>0.28828000000000004</v>
      </c>
    </row>
    <row r="18" spans="2:29">
      <c r="B18" s="75"/>
      <c r="C18" s="366" t="s">
        <v>252</v>
      </c>
      <c r="D18" s="451"/>
      <c r="E18" s="456">
        <f t="shared" ref="E18:J18" si="11">MEDIAN(E9:E14)</f>
        <v>5.5E-2</v>
      </c>
      <c r="F18" s="456">
        <f t="shared" si="11"/>
        <v>5.5550000000000002E-2</v>
      </c>
      <c r="G18" s="456">
        <f t="shared" si="11"/>
        <v>5.6099999999999997E-2</v>
      </c>
      <c r="H18" s="456">
        <f t="shared" si="11"/>
        <v>5.6099999999999997E-2</v>
      </c>
      <c r="I18" s="456">
        <f t="shared" si="11"/>
        <v>5.6649999999999999E-2</v>
      </c>
      <c r="J18" s="456">
        <f t="shared" si="11"/>
        <v>5.4449999999999998E-2</v>
      </c>
      <c r="K18" s="456"/>
      <c r="L18" s="456">
        <f>MEDIAN(L9:L14)</f>
        <v>5.6283333333333338E-2</v>
      </c>
      <c r="M18" s="457">
        <f>MEDIAN(M9:M14)</f>
        <v>5.5879999999999999E-2</v>
      </c>
      <c r="N18" s="77"/>
      <c r="O18" s="77"/>
      <c r="P18" s="77"/>
      <c r="Q18" s="75"/>
      <c r="R18" s="366" t="s">
        <v>252</v>
      </c>
      <c r="S18" s="451"/>
      <c r="T18" s="456">
        <f>MEDIAN(T9:T14)</f>
        <v>0.30100000000000005</v>
      </c>
      <c r="U18" s="456">
        <f t="shared" ref="U18:Y18" si="12">MEDIAN(U9:U14)</f>
        <v>0.30399999999999999</v>
      </c>
      <c r="V18" s="456">
        <f t="shared" si="12"/>
        <v>0.30399999999999999</v>
      </c>
      <c r="W18" s="456">
        <f t="shared" si="12"/>
        <v>0.30399999999999999</v>
      </c>
      <c r="X18" s="456">
        <f t="shared" si="12"/>
        <v>0.30399999999999999</v>
      </c>
      <c r="Y18" s="456">
        <f t="shared" si="12"/>
        <v>0.30399999999999999</v>
      </c>
      <c r="Z18" s="456"/>
      <c r="AA18" s="456">
        <f t="shared" ref="AA18:AB18" si="13">MEDIAN(AA9:AA14)</f>
        <v>0.30399999999999999</v>
      </c>
      <c r="AB18" s="457">
        <f t="shared" si="13"/>
        <v>0.30339999999999995</v>
      </c>
    </row>
    <row r="19" spans="2:29" ht="15.75" thickBot="1">
      <c r="B19" s="77"/>
      <c r="C19" s="369" t="s">
        <v>260</v>
      </c>
      <c r="D19" s="372"/>
      <c r="E19" s="458">
        <f t="shared" ref="E19:J19" si="14">MIN(E9:E14)</f>
        <v>0.02</v>
      </c>
      <c r="F19" s="458">
        <f t="shared" si="14"/>
        <v>2.0199999999999999E-2</v>
      </c>
      <c r="G19" s="458">
        <f t="shared" si="14"/>
        <v>2.0400000000000001E-2</v>
      </c>
      <c r="H19" s="458">
        <f t="shared" si="14"/>
        <v>2.0400000000000001E-2</v>
      </c>
      <c r="I19" s="458">
        <f t="shared" si="14"/>
        <v>2.06E-2</v>
      </c>
      <c r="J19" s="458">
        <f t="shared" si="14"/>
        <v>1.9800000000000002E-2</v>
      </c>
      <c r="K19" s="458"/>
      <c r="L19" s="458">
        <f>MIN(L9:L14)</f>
        <v>2.0466666666666668E-2</v>
      </c>
      <c r="M19" s="459">
        <f>MIN(M9:M14)</f>
        <v>2.0319999999999998E-2</v>
      </c>
      <c r="N19" s="77"/>
      <c r="O19" s="77"/>
      <c r="P19" s="77"/>
      <c r="Q19" s="77"/>
      <c r="R19" s="369" t="s">
        <v>260</v>
      </c>
      <c r="S19" s="372"/>
      <c r="T19" s="458">
        <f>MIN(T9:T14)</f>
        <v>0.17100000000000001</v>
      </c>
      <c r="U19" s="458">
        <f t="shared" ref="U19:Y19" si="15">MIN(U9:U14)</f>
        <v>0.17269999999999999</v>
      </c>
      <c r="V19" s="458">
        <f t="shared" si="15"/>
        <v>0.17269999999999999</v>
      </c>
      <c r="W19" s="458">
        <f t="shared" si="15"/>
        <v>0.17269999999999999</v>
      </c>
      <c r="X19" s="458">
        <f t="shared" si="15"/>
        <v>0.17269999999999999</v>
      </c>
      <c r="Y19" s="458">
        <f t="shared" si="15"/>
        <v>0.17269999999999999</v>
      </c>
      <c r="Z19" s="458"/>
      <c r="AA19" s="458">
        <f t="shared" ref="AA19:AB19" si="16">MIN(AA9:AA14)</f>
        <v>0.17269999999999999</v>
      </c>
      <c r="AB19" s="459">
        <f t="shared" si="16"/>
        <v>0.17235999999999999</v>
      </c>
    </row>
    <row r="20" spans="2:29" ht="15.75" thickBot="1">
      <c r="B20" s="79"/>
      <c r="C20" s="79"/>
      <c r="D20" s="79"/>
      <c r="E20" s="79"/>
      <c r="F20" s="79"/>
      <c r="G20" s="80"/>
      <c r="H20" s="77"/>
      <c r="I20" s="77"/>
      <c r="J20" s="77"/>
      <c r="K20" s="77"/>
      <c r="L20" s="77"/>
      <c r="M20" s="77"/>
      <c r="N20" s="77"/>
      <c r="O20" s="77"/>
      <c r="P20" s="77"/>
    </row>
    <row r="21" spans="2:29">
      <c r="B21" s="785" t="s">
        <v>368</v>
      </c>
      <c r="C21" s="433" t="s">
        <v>364</v>
      </c>
      <c r="D21" s="429"/>
      <c r="E21" s="429"/>
      <c r="F21" s="429"/>
      <c r="G21" s="429"/>
      <c r="H21" s="429"/>
      <c r="I21" s="429"/>
      <c r="J21" s="429"/>
      <c r="K21" s="429"/>
      <c r="L21" s="429" t="s">
        <v>350</v>
      </c>
      <c r="M21" s="430" t="s">
        <v>351</v>
      </c>
      <c r="N21" s="77"/>
      <c r="O21" s="77"/>
      <c r="P21" s="77"/>
      <c r="Q21" s="466"/>
      <c r="R21" s="467"/>
      <c r="S21" s="466"/>
      <c r="T21" s="466"/>
      <c r="U21" s="466"/>
      <c r="V21" s="466"/>
      <c r="W21" s="466"/>
      <c r="X21" s="466"/>
      <c r="Y21" s="466"/>
      <c r="Z21" s="466"/>
      <c r="AA21" s="466"/>
      <c r="AB21" s="466"/>
      <c r="AC21" s="72"/>
    </row>
    <row r="22" spans="2:29">
      <c r="B22" s="786"/>
      <c r="C22" s="434" t="s">
        <v>254</v>
      </c>
      <c r="D22" s="426"/>
      <c r="E22" s="427" t="s">
        <v>352</v>
      </c>
      <c r="F22" s="427" t="s">
        <v>353</v>
      </c>
      <c r="G22" s="427" t="s">
        <v>354</v>
      </c>
      <c r="H22" s="427" t="s">
        <v>355</v>
      </c>
      <c r="I22" s="427" t="s">
        <v>356</v>
      </c>
      <c r="J22" s="427" t="s">
        <v>357</v>
      </c>
      <c r="K22" s="426"/>
      <c r="L22" s="426" t="s">
        <v>164</v>
      </c>
      <c r="M22" s="431" t="s">
        <v>164</v>
      </c>
      <c r="Q22" s="466"/>
      <c r="R22" s="467"/>
      <c r="S22" s="466"/>
      <c r="T22" s="468"/>
      <c r="U22" s="468"/>
      <c r="V22" s="468"/>
      <c r="W22" s="468"/>
      <c r="X22" s="468"/>
      <c r="Y22" s="468"/>
      <c r="Z22" s="466"/>
      <c r="AA22" s="466"/>
      <c r="AB22" s="466"/>
      <c r="AC22" s="72"/>
    </row>
    <row r="23" spans="2:29">
      <c r="B23" s="347"/>
      <c r="C23" s="348"/>
      <c r="D23" s="349"/>
      <c r="E23" s="353"/>
      <c r="F23" s="424"/>
      <c r="G23" s="424"/>
      <c r="H23" s="424"/>
      <c r="I23" s="424"/>
      <c r="J23" s="424"/>
      <c r="K23" s="348"/>
      <c r="L23" s="348"/>
      <c r="M23" s="432"/>
      <c r="Q23" s="77"/>
      <c r="R23" s="77"/>
      <c r="S23" s="78"/>
      <c r="T23" s="461"/>
      <c r="U23" s="461"/>
      <c r="V23" s="461"/>
      <c r="W23" s="461"/>
      <c r="X23" s="461"/>
      <c r="Y23" s="461"/>
      <c r="Z23" s="461"/>
      <c r="AA23" s="77"/>
      <c r="AB23" s="77"/>
      <c r="AC23" s="72"/>
    </row>
    <row r="24" spans="2:29">
      <c r="B24" s="347" t="s">
        <v>358</v>
      </c>
      <c r="C24" s="435">
        <v>43830</v>
      </c>
      <c r="D24" s="352"/>
      <c r="E24" s="438">
        <v>3.3000000000000002E-2</v>
      </c>
      <c r="F24" s="438">
        <v>3.3000000000000002E-2</v>
      </c>
      <c r="G24" s="438">
        <v>3.3000000000000002E-2</v>
      </c>
      <c r="H24" s="438">
        <v>3.3000000000000002E-2</v>
      </c>
      <c r="I24" s="438">
        <v>3.3300000000000003E-2</v>
      </c>
      <c r="J24" s="438">
        <v>3.3000000000000002E-2</v>
      </c>
      <c r="K24" s="438"/>
      <c r="L24" s="436">
        <f t="shared" ref="L24:L29" si="17">AVERAGE(G24:I24)</f>
        <v>3.3099999999999997E-2</v>
      </c>
      <c r="M24" s="437">
        <f t="shared" ref="M24:M29" si="18">AVERAGE(E24:I24)</f>
        <v>3.3059999999999999E-2</v>
      </c>
      <c r="Q24" s="77"/>
      <c r="R24" s="462"/>
      <c r="S24" s="82"/>
      <c r="T24" s="461"/>
      <c r="U24" s="461"/>
      <c r="V24" s="461"/>
      <c r="W24" s="461"/>
      <c r="X24" s="461"/>
      <c r="Y24" s="461"/>
      <c r="Z24" s="461"/>
      <c r="AA24" s="463"/>
      <c r="AB24" s="463"/>
      <c r="AC24" s="72"/>
    </row>
    <row r="25" spans="2:29">
      <c r="B25" s="347" t="s">
        <v>359</v>
      </c>
      <c r="C25" s="435">
        <v>43830</v>
      </c>
      <c r="D25" s="358"/>
      <c r="E25" s="438">
        <v>3.9E-2</v>
      </c>
      <c r="F25" s="438">
        <v>3.9E-2</v>
      </c>
      <c r="G25" s="438">
        <v>3.9E-2</v>
      </c>
      <c r="H25" s="438">
        <v>3.9E-2</v>
      </c>
      <c r="I25" s="438">
        <v>3.9399999999999998E-2</v>
      </c>
      <c r="J25" s="438">
        <v>3.9E-2</v>
      </c>
      <c r="K25" s="438"/>
      <c r="L25" s="436">
        <f t="shared" si="17"/>
        <v>3.9133333333333332E-2</v>
      </c>
      <c r="M25" s="437">
        <f t="shared" si="18"/>
        <v>3.9079999999999997E-2</v>
      </c>
      <c r="Q25" s="77"/>
      <c r="R25" s="462"/>
      <c r="S25" s="83"/>
      <c r="T25" s="461"/>
      <c r="U25" s="461"/>
      <c r="V25" s="461"/>
      <c r="W25" s="461"/>
      <c r="X25" s="461"/>
      <c r="Y25" s="461"/>
      <c r="Z25" s="461"/>
      <c r="AA25" s="463"/>
      <c r="AB25" s="463"/>
      <c r="AC25" s="72"/>
    </row>
    <row r="26" spans="2:29">
      <c r="B26" s="347" t="s">
        <v>360</v>
      </c>
      <c r="C26" s="435">
        <v>43830</v>
      </c>
      <c r="D26" s="358"/>
      <c r="E26" s="438">
        <v>2.5999999999999999E-2</v>
      </c>
      <c r="F26" s="438">
        <v>2.5999999999999999E-2</v>
      </c>
      <c r="G26" s="438">
        <v>2.5999999999999999E-2</v>
      </c>
      <c r="H26" s="438">
        <v>2.5999999999999999E-2</v>
      </c>
      <c r="I26" s="438">
        <v>2.63E-2</v>
      </c>
      <c r="J26" s="438">
        <v>2.5999999999999999E-2</v>
      </c>
      <c r="K26" s="438"/>
      <c r="L26" s="436">
        <f t="shared" si="17"/>
        <v>2.6099999999999998E-2</v>
      </c>
      <c r="M26" s="437">
        <f t="shared" si="18"/>
        <v>2.606E-2</v>
      </c>
      <c r="Q26" s="77"/>
      <c r="R26" s="462"/>
      <c r="S26" s="83"/>
      <c r="T26" s="461"/>
      <c r="U26" s="461"/>
      <c r="V26" s="461"/>
      <c r="W26" s="461"/>
      <c r="X26" s="461"/>
      <c r="Y26" s="461"/>
      <c r="Z26" s="461"/>
      <c r="AA26" s="463"/>
      <c r="AB26" s="463"/>
      <c r="AC26" s="72"/>
    </row>
    <row r="27" spans="2:29">
      <c r="B27" s="347" t="s">
        <v>361</v>
      </c>
      <c r="C27" s="435">
        <v>43830</v>
      </c>
      <c r="D27" s="358"/>
      <c r="E27" s="438">
        <v>3.9E-2</v>
      </c>
      <c r="F27" s="438">
        <v>3.9E-2</v>
      </c>
      <c r="G27" s="438">
        <v>3.9E-2</v>
      </c>
      <c r="H27" s="438">
        <v>3.9E-2</v>
      </c>
      <c r="I27" s="438">
        <v>3.9399999999999998E-2</v>
      </c>
      <c r="J27" s="438">
        <v>3.9E-2</v>
      </c>
      <c r="K27" s="438"/>
      <c r="L27" s="436">
        <f t="shared" si="17"/>
        <v>3.9133333333333332E-2</v>
      </c>
      <c r="M27" s="437">
        <f t="shared" si="18"/>
        <v>3.9079999999999997E-2</v>
      </c>
      <c r="Q27" s="77"/>
      <c r="R27" s="462"/>
      <c r="S27" s="83"/>
      <c r="T27" s="461"/>
      <c r="U27" s="461"/>
      <c r="V27" s="461"/>
      <c r="W27" s="461"/>
      <c r="X27" s="461"/>
      <c r="Y27" s="461"/>
      <c r="Z27" s="461"/>
      <c r="AA27" s="463"/>
      <c r="AB27" s="463"/>
      <c r="AC27" s="72"/>
    </row>
    <row r="28" spans="2:29">
      <c r="B28" s="347" t="s">
        <v>362</v>
      </c>
      <c r="C28" s="435">
        <v>43830</v>
      </c>
      <c r="D28" s="363"/>
      <c r="E28" s="438">
        <v>0.03</v>
      </c>
      <c r="F28" s="438">
        <v>0.03</v>
      </c>
      <c r="G28" s="438">
        <v>0.03</v>
      </c>
      <c r="H28" s="438">
        <v>0.03</v>
      </c>
      <c r="I28" s="438">
        <v>3.0300000000000001E-2</v>
      </c>
      <c r="J28" s="438">
        <v>0.03</v>
      </c>
      <c r="K28" s="438"/>
      <c r="L28" s="436">
        <f t="shared" si="17"/>
        <v>3.0099999999999998E-2</v>
      </c>
      <c r="M28" s="437">
        <f t="shared" si="18"/>
        <v>3.0059999999999996E-2</v>
      </c>
      <c r="Q28" s="77"/>
      <c r="R28" s="462"/>
      <c r="S28" s="84"/>
      <c r="T28" s="461"/>
      <c r="U28" s="461"/>
      <c r="V28" s="461"/>
      <c r="W28" s="461"/>
      <c r="X28" s="461"/>
      <c r="Y28" s="461"/>
      <c r="Z28" s="461"/>
      <c r="AA28" s="463"/>
      <c r="AB28" s="463"/>
      <c r="AC28" s="72"/>
    </row>
    <row r="29" spans="2:29" ht="15.75" thickBot="1">
      <c r="B29" s="439" t="s">
        <v>363</v>
      </c>
      <c r="C29" s="440">
        <v>43830</v>
      </c>
      <c r="D29" s="441"/>
      <c r="E29" s="442">
        <v>3.3000000000000002E-2</v>
      </c>
      <c r="F29" s="442">
        <v>3.3000000000000002E-2</v>
      </c>
      <c r="G29" s="442">
        <v>3.3000000000000002E-2</v>
      </c>
      <c r="H29" s="442">
        <v>3.3000000000000002E-2</v>
      </c>
      <c r="I29" s="442">
        <v>3.3300000000000003E-2</v>
      </c>
      <c r="J29" s="442">
        <v>3.3000000000000002E-2</v>
      </c>
      <c r="K29" s="442"/>
      <c r="L29" s="443">
        <f t="shared" si="17"/>
        <v>3.3099999999999997E-2</v>
      </c>
      <c r="M29" s="444">
        <f t="shared" si="18"/>
        <v>3.3059999999999999E-2</v>
      </c>
      <c r="Q29" s="77"/>
      <c r="R29" s="462"/>
      <c r="S29" s="83"/>
      <c r="T29" s="461"/>
      <c r="U29" s="461"/>
      <c r="V29" s="461"/>
      <c r="W29" s="461"/>
      <c r="X29" s="461"/>
      <c r="Y29" s="461"/>
      <c r="Z29" s="461"/>
      <c r="AA29" s="463"/>
      <c r="AB29" s="463"/>
      <c r="AC29" s="72"/>
    </row>
    <row r="30" spans="2:29" ht="2.1" customHeight="1" thickBot="1">
      <c r="B30" s="445"/>
      <c r="C30" s="446"/>
      <c r="D30" s="446"/>
      <c r="E30" s="447"/>
      <c r="F30" s="447"/>
      <c r="G30" s="447"/>
      <c r="H30" s="447"/>
      <c r="I30" s="447"/>
      <c r="J30" s="447"/>
      <c r="K30" s="448"/>
      <c r="L30" s="448"/>
      <c r="M30" s="448"/>
      <c r="Q30" s="86"/>
      <c r="R30" s="77"/>
      <c r="S30" s="77"/>
      <c r="T30" s="461"/>
      <c r="U30" s="461"/>
      <c r="V30" s="461"/>
      <c r="W30" s="461"/>
      <c r="X30" s="461"/>
      <c r="Y30" s="461"/>
      <c r="Z30" s="461"/>
      <c r="AA30" s="81"/>
      <c r="AB30" s="81"/>
      <c r="AC30" s="72"/>
    </row>
    <row r="31" spans="2:29">
      <c r="B31" s="86"/>
      <c r="C31" s="449" t="s">
        <v>261</v>
      </c>
      <c r="D31" s="450"/>
      <c r="E31" s="452">
        <f>MAX(E24:E29)</f>
        <v>3.9E-2</v>
      </c>
      <c r="F31" s="452">
        <f t="shared" ref="F31:J31" si="19">MAX(F24:F29)</f>
        <v>3.9E-2</v>
      </c>
      <c r="G31" s="452">
        <f t="shared" si="19"/>
        <v>3.9E-2</v>
      </c>
      <c r="H31" s="452">
        <f t="shared" si="19"/>
        <v>3.9E-2</v>
      </c>
      <c r="I31" s="452">
        <f t="shared" si="19"/>
        <v>3.9399999999999998E-2</v>
      </c>
      <c r="J31" s="452">
        <f t="shared" si="19"/>
        <v>3.9E-2</v>
      </c>
      <c r="K31" s="452"/>
      <c r="L31" s="452">
        <f t="shared" ref="L31:M31" si="20">MAX(L24:L29)</f>
        <v>3.9133333333333332E-2</v>
      </c>
      <c r="M31" s="453">
        <f t="shared" si="20"/>
        <v>3.9079999999999997E-2</v>
      </c>
      <c r="Q31" s="86"/>
      <c r="R31" s="86"/>
      <c r="S31" s="79"/>
      <c r="T31" s="461"/>
      <c r="U31" s="461"/>
      <c r="V31" s="461"/>
      <c r="W31" s="461"/>
      <c r="X31" s="461"/>
      <c r="Y31" s="461"/>
      <c r="Z31" s="461"/>
      <c r="AA31" s="464"/>
      <c r="AB31" s="464"/>
      <c r="AC31" s="72"/>
    </row>
    <row r="32" spans="2:29">
      <c r="B32" s="77"/>
      <c r="C32" s="366" t="s">
        <v>251</v>
      </c>
      <c r="D32" s="348"/>
      <c r="E32" s="454">
        <f>AVERAGE(E24:E29)</f>
        <v>3.3333333333333333E-2</v>
      </c>
      <c r="F32" s="454">
        <f t="shared" ref="F32:J32" si="21">AVERAGE(F24:F29)</f>
        <v>3.3333333333333333E-2</v>
      </c>
      <c r="G32" s="454">
        <f t="shared" si="21"/>
        <v>3.3333333333333333E-2</v>
      </c>
      <c r="H32" s="454">
        <f t="shared" si="21"/>
        <v>3.3333333333333333E-2</v>
      </c>
      <c r="I32" s="454">
        <f t="shared" si="21"/>
        <v>3.3666666666666664E-2</v>
      </c>
      <c r="J32" s="454">
        <f t="shared" si="21"/>
        <v>3.3333333333333333E-2</v>
      </c>
      <c r="K32" s="454"/>
      <c r="L32" s="454">
        <f t="shared" ref="L32:M32" si="22">AVERAGE(L24:L29)</f>
        <v>3.3444444444444436E-2</v>
      </c>
      <c r="M32" s="455">
        <f t="shared" si="22"/>
        <v>3.3399999999999999E-2</v>
      </c>
      <c r="Q32" s="77"/>
      <c r="R32" s="86"/>
      <c r="S32" s="77"/>
      <c r="T32" s="464"/>
      <c r="U32" s="464"/>
      <c r="V32" s="464"/>
      <c r="W32" s="464"/>
      <c r="X32" s="464"/>
      <c r="Y32" s="464"/>
      <c r="Z32" s="464"/>
      <c r="AA32" s="464"/>
      <c r="AB32" s="464"/>
      <c r="AC32" s="72"/>
    </row>
    <row r="33" spans="2:29">
      <c r="B33" s="75"/>
      <c r="C33" s="366" t="s">
        <v>252</v>
      </c>
      <c r="D33" s="451"/>
      <c r="E33" s="456">
        <f>MEDIAN(E24:E29)</f>
        <v>3.3000000000000002E-2</v>
      </c>
      <c r="F33" s="456">
        <f t="shared" ref="F33:J33" si="23">MEDIAN(F24:F29)</f>
        <v>3.3000000000000002E-2</v>
      </c>
      <c r="G33" s="456">
        <f t="shared" si="23"/>
        <v>3.3000000000000002E-2</v>
      </c>
      <c r="H33" s="456">
        <f t="shared" si="23"/>
        <v>3.3000000000000002E-2</v>
      </c>
      <c r="I33" s="456">
        <f t="shared" si="23"/>
        <v>3.3300000000000003E-2</v>
      </c>
      <c r="J33" s="456">
        <f t="shared" si="23"/>
        <v>3.3000000000000002E-2</v>
      </c>
      <c r="K33" s="456"/>
      <c r="L33" s="456">
        <f t="shared" ref="L33:M33" si="24">MEDIAN(L24:L29)</f>
        <v>3.3099999999999997E-2</v>
      </c>
      <c r="M33" s="457">
        <f t="shared" si="24"/>
        <v>3.3059999999999999E-2</v>
      </c>
      <c r="Q33" s="75"/>
      <c r="R33" s="86"/>
      <c r="S33" s="76"/>
      <c r="T33" s="465"/>
      <c r="U33" s="465"/>
      <c r="V33" s="465"/>
      <c r="W33" s="465"/>
      <c r="X33" s="465"/>
      <c r="Y33" s="465"/>
      <c r="Z33" s="465"/>
      <c r="AA33" s="465"/>
      <c r="AB33" s="465"/>
      <c r="AC33" s="72"/>
    </row>
    <row r="34" spans="2:29" ht="15.75" thickBot="1">
      <c r="B34" s="77"/>
      <c r="C34" s="369" t="s">
        <v>260</v>
      </c>
      <c r="D34" s="372"/>
      <c r="E34" s="458">
        <f>MIN(E24:E29)</f>
        <v>2.5999999999999999E-2</v>
      </c>
      <c r="F34" s="458">
        <f t="shared" ref="F34:J34" si="25">MIN(F24:F29)</f>
        <v>2.5999999999999999E-2</v>
      </c>
      <c r="G34" s="458">
        <f t="shared" si="25"/>
        <v>2.5999999999999999E-2</v>
      </c>
      <c r="H34" s="458">
        <f t="shared" si="25"/>
        <v>2.5999999999999999E-2</v>
      </c>
      <c r="I34" s="458">
        <f t="shared" si="25"/>
        <v>2.63E-2</v>
      </c>
      <c r="J34" s="458">
        <f t="shared" si="25"/>
        <v>2.5999999999999999E-2</v>
      </c>
      <c r="K34" s="458"/>
      <c r="L34" s="458">
        <f t="shared" ref="L34:M34" si="26">MIN(L24:L29)</f>
        <v>2.6099999999999998E-2</v>
      </c>
      <c r="M34" s="459">
        <f t="shared" si="26"/>
        <v>2.606E-2</v>
      </c>
      <c r="Q34" s="77"/>
      <c r="R34" s="86"/>
      <c r="S34" s="77"/>
      <c r="T34" s="464"/>
      <c r="U34" s="464"/>
      <c r="V34" s="464"/>
      <c r="W34" s="464"/>
      <c r="X34" s="464"/>
      <c r="Y34" s="464"/>
      <c r="Z34" s="464"/>
      <c r="AA34" s="464"/>
      <c r="AB34" s="464"/>
      <c r="AC34" s="72"/>
    </row>
    <row r="35" spans="2:29"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spans="2:29"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spans="2:29"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spans="2:29"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</sheetData>
  <mergeCells count="3">
    <mergeCell ref="B6:B7"/>
    <mergeCell ref="B21:B22"/>
    <mergeCell ref="Q6:Q7"/>
  </mergeCells>
  <pageMargins left="0.5" right="0.5" top="0.5" bottom="0.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view="pageBreakPreview" zoomScale="60" zoomScaleNormal="55"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5"/>
  <sheetViews>
    <sheetView showGridLines="0" view="pageBreakPreview" zoomScale="90" zoomScaleNormal="100" zoomScaleSheetLayoutView="90" workbookViewId="0">
      <selection activeCell="B1" sqref="B1"/>
    </sheetView>
  </sheetViews>
  <sheetFormatPr defaultRowHeight="15"/>
  <cols>
    <col min="1" max="1" width="3.5703125" customWidth="1"/>
    <col min="5" max="5" width="7.5703125" customWidth="1"/>
    <col min="6" max="6" width="11" customWidth="1"/>
    <col min="7" max="13" width="10.7109375" customWidth="1"/>
    <col min="14" max="14" width="2.7109375" customWidth="1"/>
  </cols>
  <sheetData>
    <row r="1" spans="1:13" ht="15.75">
      <c r="B1" s="18" t="str">
        <f>Acq_name</f>
        <v>[Acq.Co. Holdings Ltd.]</v>
      </c>
      <c r="M1" s="34" t="str">
        <f>"Exhibit: "&amp;INDEX(TOC!$B$5:$E$34,MATCH($B$3,TOC!$E$5:$E$36,0),COLUMNS(TOC!H5))&amp;O1</f>
        <v>Exhibit: M</v>
      </c>
    </row>
    <row r="2" spans="1:13">
      <c r="B2" s="19" t="str">
        <f>Targ_name</f>
        <v>[ABC Corporation]</v>
      </c>
    </row>
    <row r="3" spans="1:13">
      <c r="B3" s="20" t="str">
        <f>TOC!E25</f>
        <v>Developed Technology</v>
      </c>
    </row>
    <row r="4" spans="1:13">
      <c r="B4" s="25" t="str">
        <f>"Valuation as of "&amp;TEXT(Val_date,"DD MMMM YYYY")</f>
        <v>Valuation as of 31 March 2020</v>
      </c>
    </row>
    <row r="5" spans="1:13">
      <c r="B5" s="27" t="str">
        <f>'Key Inputs and Assumptions'!C24</f>
        <v>(in USD ‘000s unless specified otherwise)</v>
      </c>
    </row>
    <row r="7" spans="1:13" s="702" customFormat="1" ht="11.25" customHeight="1">
      <c r="B7" s="747" t="s">
        <v>159</v>
      </c>
      <c r="C7" s="747"/>
      <c r="D7" s="748"/>
      <c r="E7" s="748"/>
      <c r="F7" s="749">
        <v>6</v>
      </c>
      <c r="G7" s="750"/>
      <c r="H7" s="750"/>
      <c r="I7" s="750"/>
      <c r="J7" s="750"/>
      <c r="K7" s="750"/>
      <c r="L7" s="750"/>
      <c r="M7" s="750"/>
    </row>
    <row r="8" spans="1:13" s="702" customFormat="1" ht="11.25" customHeight="1">
      <c r="B8" s="747" t="s">
        <v>161</v>
      </c>
      <c r="C8" s="747"/>
      <c r="D8" s="748"/>
      <c r="E8" s="748"/>
      <c r="F8" s="821">
        <f>1/F7</f>
        <v>0.16666666666666666</v>
      </c>
      <c r="G8" s="750"/>
      <c r="H8" s="750"/>
      <c r="I8" s="750"/>
      <c r="J8" s="750"/>
      <c r="K8" s="750"/>
      <c r="L8" s="750"/>
      <c r="M8" s="750"/>
    </row>
    <row r="9" spans="1:13" ht="9" customHeight="1" thickBot="1">
      <c r="A9" s="26"/>
      <c r="B9" s="48"/>
      <c r="C9" s="48"/>
      <c r="D9" s="48"/>
      <c r="E9" s="48"/>
      <c r="F9" s="50"/>
      <c r="G9" s="49"/>
      <c r="H9" s="49"/>
      <c r="I9" s="49"/>
      <c r="J9" s="49"/>
      <c r="K9" s="49"/>
      <c r="L9" s="49"/>
      <c r="M9" s="49"/>
    </row>
    <row r="10" spans="1:13" ht="14.1" customHeight="1">
      <c r="B10" s="787" t="s">
        <v>160</v>
      </c>
      <c r="C10" s="788"/>
      <c r="D10" s="788"/>
      <c r="E10" s="788"/>
      <c r="F10" s="788"/>
      <c r="G10" s="570" t="s">
        <v>128</v>
      </c>
      <c r="H10" s="789" t="s">
        <v>0</v>
      </c>
      <c r="I10" s="789"/>
      <c r="J10" s="789"/>
      <c r="K10" s="789"/>
      <c r="L10" s="789"/>
      <c r="M10" s="790"/>
    </row>
    <row r="11" spans="1:13" ht="14.1" customHeight="1">
      <c r="B11" s="571"/>
      <c r="C11" s="572"/>
      <c r="D11" s="572"/>
      <c r="E11" s="573"/>
      <c r="F11" s="574"/>
      <c r="G11" s="575">
        <f>'Key Inputs and Assumptions'!C16</f>
        <v>44196</v>
      </c>
      <c r="H11" s="575">
        <f t="shared" ref="H11:M11" si="0">G11+365</f>
        <v>44561</v>
      </c>
      <c r="I11" s="575">
        <f t="shared" si="0"/>
        <v>44926</v>
      </c>
      <c r="J11" s="575">
        <f t="shared" si="0"/>
        <v>45291</v>
      </c>
      <c r="K11" s="575">
        <f t="shared" si="0"/>
        <v>45656</v>
      </c>
      <c r="L11" s="575">
        <f t="shared" si="0"/>
        <v>46021</v>
      </c>
      <c r="M11" s="576">
        <f t="shared" si="0"/>
        <v>46386</v>
      </c>
    </row>
    <row r="12" spans="1:13" ht="14.1" customHeight="1">
      <c r="B12" s="577" t="s">
        <v>162</v>
      </c>
      <c r="C12" s="578"/>
      <c r="D12" s="578"/>
      <c r="E12" s="578"/>
      <c r="F12" s="579"/>
      <c r="G12" s="587">
        <v>1</v>
      </c>
      <c r="H12" s="587">
        <f>G13</f>
        <v>0.87477231329690341</v>
      </c>
      <c r="I12" s="587">
        <f t="shared" ref="I12:M12" si="1">H13</f>
        <v>0.70810564663023678</v>
      </c>
      <c r="J12" s="587">
        <f t="shared" si="1"/>
        <v>0.54143897996357016</v>
      </c>
      <c r="K12" s="587">
        <f t="shared" si="1"/>
        <v>0.37477231329690353</v>
      </c>
      <c r="L12" s="587">
        <f t="shared" si="1"/>
        <v>0.20810564663023687</v>
      </c>
      <c r="M12" s="743">
        <f t="shared" si="1"/>
        <v>4.1438979963570211E-2</v>
      </c>
    </row>
    <row r="13" spans="1:13" ht="14.1" customHeight="1">
      <c r="B13" s="577" t="s">
        <v>163</v>
      </c>
      <c r="C13" s="578"/>
      <c r="D13" s="578"/>
      <c r="E13" s="578"/>
      <c r="F13" s="579"/>
      <c r="G13" s="587">
        <f>G12-(F8*stub)</f>
        <v>0.87477231329690341</v>
      </c>
      <c r="H13" s="587">
        <f>H12-$F$8</f>
        <v>0.70810564663023678</v>
      </c>
      <c r="I13" s="587">
        <f t="shared" ref="I13:L13" si="2">I12-$F$8</f>
        <v>0.54143897996357016</v>
      </c>
      <c r="J13" s="587">
        <f t="shared" si="2"/>
        <v>0.37477231329690353</v>
      </c>
      <c r="K13" s="587">
        <f t="shared" si="2"/>
        <v>0.20810564663023687</v>
      </c>
      <c r="L13" s="587">
        <f t="shared" si="2"/>
        <v>4.1438979963570211E-2</v>
      </c>
      <c r="M13" s="743">
        <v>0</v>
      </c>
    </row>
    <row r="14" spans="1:13" ht="14.1" customHeight="1">
      <c r="B14" s="582" t="s">
        <v>164</v>
      </c>
      <c r="C14" s="583"/>
      <c r="D14" s="583"/>
      <c r="E14" s="583"/>
      <c r="F14" s="584"/>
      <c r="G14" s="744">
        <f>AVERAGE(G12:G13)</f>
        <v>0.93738615664845171</v>
      </c>
      <c r="H14" s="744">
        <f t="shared" ref="H14:M14" si="3">AVERAGE(H12:H13)</f>
        <v>0.79143897996357016</v>
      </c>
      <c r="I14" s="744">
        <f t="shared" si="3"/>
        <v>0.62477231329690341</v>
      </c>
      <c r="J14" s="744">
        <f t="shared" si="3"/>
        <v>0.45810564663023684</v>
      </c>
      <c r="K14" s="744">
        <f t="shared" si="3"/>
        <v>0.29143897996357021</v>
      </c>
      <c r="L14" s="744">
        <f t="shared" si="3"/>
        <v>0.12477231329690354</v>
      </c>
      <c r="M14" s="745">
        <f t="shared" si="3"/>
        <v>2.0719489981785105E-2</v>
      </c>
    </row>
    <row r="15" spans="1:13" ht="2.1" customHeight="1">
      <c r="B15" s="582"/>
      <c r="C15" s="583"/>
      <c r="D15" s="583"/>
      <c r="E15" s="583"/>
      <c r="F15" s="584"/>
      <c r="G15" s="744"/>
      <c r="H15" s="744"/>
      <c r="I15" s="744"/>
      <c r="J15" s="744"/>
      <c r="K15" s="744"/>
      <c r="L15" s="744"/>
      <c r="M15" s="745"/>
    </row>
    <row r="16" spans="1:13" ht="14.1" customHeight="1">
      <c r="B16" s="577" t="s">
        <v>1</v>
      </c>
      <c r="C16" s="578"/>
      <c r="D16" s="585"/>
      <c r="E16" s="585"/>
      <c r="F16" s="585"/>
      <c r="G16" s="580">
        <f>PFI!D13</f>
        <v>24894.522170329663</v>
      </c>
      <c r="H16" s="580">
        <f>PFI!E13</f>
        <v>34895.194225450541</v>
      </c>
      <c r="I16" s="580">
        <f>PFI!F13</f>
        <v>37103.761728249228</v>
      </c>
      <c r="J16" s="580">
        <f>PFI!G13</f>
        <v>39703.361320061165</v>
      </c>
      <c r="K16" s="580">
        <f>PFI!H13</f>
        <v>42492.493811895663</v>
      </c>
      <c r="L16" s="580">
        <f>PFI!I13</f>
        <v>44617.118502490448</v>
      </c>
      <c r="M16" s="581">
        <f>PFI!J13</f>
        <v>45955.632057565163</v>
      </c>
    </row>
    <row r="17" spans="2:13" ht="14.1" customHeight="1">
      <c r="B17" s="577" t="s">
        <v>165</v>
      </c>
      <c r="C17" s="578"/>
      <c r="D17" s="578"/>
      <c r="E17" s="578"/>
      <c r="F17" s="579">
        <v>0.1</v>
      </c>
      <c r="G17" s="580">
        <f>$F$17*G16</f>
        <v>2489.4522170329665</v>
      </c>
      <c r="H17" s="580">
        <f t="shared" ref="H17:M17" si="4">$F$17*H16</f>
        <v>3489.5194225450541</v>
      </c>
      <c r="I17" s="580">
        <f t="shared" si="4"/>
        <v>3710.3761728249228</v>
      </c>
      <c r="J17" s="580">
        <f t="shared" si="4"/>
        <v>3970.3361320061167</v>
      </c>
      <c r="K17" s="580">
        <f t="shared" si="4"/>
        <v>4249.2493811895665</v>
      </c>
      <c r="L17" s="580">
        <f t="shared" si="4"/>
        <v>4461.7118502490448</v>
      </c>
      <c r="M17" s="581">
        <f t="shared" si="4"/>
        <v>4595.5632057565163</v>
      </c>
    </row>
    <row r="18" spans="2:13" ht="14.1" customHeight="1">
      <c r="B18" s="746" t="s">
        <v>166</v>
      </c>
      <c r="C18" s="578"/>
      <c r="D18" s="578"/>
      <c r="E18" s="578"/>
      <c r="F18" s="579"/>
      <c r="G18" s="580">
        <f>G17*G14</f>
        <v>2333.5780458844997</v>
      </c>
      <c r="H18" s="580">
        <f t="shared" ref="H18:M18" si="5">H17*H14</f>
        <v>2761.7416923421238</v>
      </c>
      <c r="I18" s="580">
        <f t="shared" si="5"/>
        <v>2318.1403046975383</v>
      </c>
      <c r="J18" s="580">
        <f t="shared" si="5"/>
        <v>1818.8334010920555</v>
      </c>
      <c r="K18" s="580">
        <f t="shared" si="5"/>
        <v>1238.3969052647192</v>
      </c>
      <c r="L18" s="580">
        <f t="shared" si="5"/>
        <v>556.69810881978094</v>
      </c>
      <c r="M18" s="581">
        <f t="shared" si="5"/>
        <v>95.217725802332382</v>
      </c>
    </row>
    <row r="19" spans="2:13" ht="2.1" customHeight="1">
      <c r="B19" s="746"/>
      <c r="C19" s="578"/>
      <c r="D19" s="578"/>
      <c r="E19" s="578"/>
      <c r="F19" s="579"/>
      <c r="G19" s="580"/>
      <c r="H19" s="580"/>
      <c r="I19" s="580"/>
      <c r="J19" s="580"/>
      <c r="K19" s="580"/>
      <c r="L19" s="580"/>
      <c r="M19" s="581"/>
    </row>
    <row r="20" spans="2:13" ht="14.1" customHeight="1">
      <c r="B20" s="586" t="s">
        <v>451</v>
      </c>
      <c r="C20" s="585"/>
      <c r="D20" s="578"/>
      <c r="E20" s="578"/>
      <c r="F20" s="579">
        <v>0.16</v>
      </c>
      <c r="G20" s="589">
        <f>G18*$F$20</f>
        <v>373.37248734151996</v>
      </c>
      <c r="H20" s="589">
        <f t="shared" ref="H20:M20" si="6">H18*$F$20</f>
        <v>441.87867077473982</v>
      </c>
      <c r="I20" s="589">
        <f t="shared" si="6"/>
        <v>370.90244875160613</v>
      </c>
      <c r="J20" s="589">
        <f t="shared" si="6"/>
        <v>291.0133441747289</v>
      </c>
      <c r="K20" s="589">
        <f t="shared" si="6"/>
        <v>198.14350484235507</v>
      </c>
      <c r="L20" s="589">
        <f t="shared" si="6"/>
        <v>89.071697411164948</v>
      </c>
      <c r="M20" s="590">
        <f t="shared" si="6"/>
        <v>15.234836128373182</v>
      </c>
    </row>
    <row r="21" spans="2:13" ht="14.1" customHeight="1">
      <c r="B21" s="586" t="s">
        <v>452</v>
      </c>
      <c r="C21" s="585"/>
      <c r="D21" s="578"/>
      <c r="E21" s="578"/>
      <c r="F21" s="579">
        <v>0.04</v>
      </c>
      <c r="G21" s="589">
        <f>G18*-$F$21</f>
        <v>-93.343121835379989</v>
      </c>
      <c r="H21" s="589">
        <f t="shared" ref="H21:M21" si="7">H18*-$F$21</f>
        <v>-110.46966769368495</v>
      </c>
      <c r="I21" s="589">
        <f t="shared" si="7"/>
        <v>-92.725612187901532</v>
      </c>
      <c r="J21" s="589">
        <f t="shared" si="7"/>
        <v>-72.753336043682225</v>
      </c>
      <c r="K21" s="589">
        <f t="shared" si="7"/>
        <v>-49.535876210588768</v>
      </c>
      <c r="L21" s="589">
        <f t="shared" si="7"/>
        <v>-22.267924352791237</v>
      </c>
      <c r="M21" s="590">
        <f t="shared" si="7"/>
        <v>-3.8087090320932955</v>
      </c>
    </row>
    <row r="22" spans="2:13" ht="14.1" customHeight="1">
      <c r="B22" s="582" t="s">
        <v>450</v>
      </c>
      <c r="C22" s="583"/>
      <c r="D22" s="583"/>
      <c r="E22" s="583"/>
      <c r="F22" s="584"/>
      <c r="G22" s="819">
        <f>SUM(G20:G21)</f>
        <v>280.02936550613998</v>
      </c>
      <c r="H22" s="819">
        <f t="shared" ref="H22:M22" si="8">SUM(H20:H21)</f>
        <v>331.40900308105483</v>
      </c>
      <c r="I22" s="819">
        <f t="shared" si="8"/>
        <v>278.17683656370457</v>
      </c>
      <c r="J22" s="819">
        <f t="shared" si="8"/>
        <v>218.26000813104667</v>
      </c>
      <c r="K22" s="819">
        <f t="shared" si="8"/>
        <v>148.60762863176632</v>
      </c>
      <c r="L22" s="819">
        <f t="shared" si="8"/>
        <v>66.803773058373707</v>
      </c>
      <c r="M22" s="820">
        <f t="shared" si="8"/>
        <v>11.426127096279886</v>
      </c>
    </row>
    <row r="23" spans="2:13" ht="14.1" customHeight="1">
      <c r="B23" s="586" t="s">
        <v>167</v>
      </c>
      <c r="C23" s="578"/>
      <c r="D23" s="578"/>
      <c r="E23" s="578"/>
      <c r="F23" s="587">
        <f>tax_rate</f>
        <v>0.26140000000000002</v>
      </c>
      <c r="G23" s="589">
        <f>-$F$23*G22</f>
        <v>-73.199676143304998</v>
      </c>
      <c r="H23" s="589">
        <f>-$F$23*H22</f>
        <v>-86.630313405387739</v>
      </c>
      <c r="I23" s="589">
        <f>-$F$23*I22</f>
        <v>-72.715425077752386</v>
      </c>
      <c r="J23" s="589">
        <f>-$F$23*J22</f>
        <v>-57.053166125455604</v>
      </c>
      <c r="K23" s="589">
        <f>-$F$23*K22</f>
        <v>-38.846034124343717</v>
      </c>
      <c r="L23" s="589">
        <f>-$F$23*L22</f>
        <v>-17.462506277458889</v>
      </c>
      <c r="M23" s="590">
        <f>-$F$23*M22</f>
        <v>-2.9867896229675623</v>
      </c>
    </row>
    <row r="24" spans="2:13" ht="14.1" customHeight="1">
      <c r="B24" s="591" t="s">
        <v>453</v>
      </c>
      <c r="C24" s="592"/>
      <c r="D24" s="592"/>
      <c r="E24" s="593"/>
      <c r="F24" s="593"/>
      <c r="G24" s="594">
        <f>SUM(G22:G23)</f>
        <v>206.82968936283498</v>
      </c>
      <c r="H24" s="594">
        <f>SUM(H22:H23)</f>
        <v>244.7786896756671</v>
      </c>
      <c r="I24" s="594">
        <f>SUM(I22:I23)</f>
        <v>205.46141148595217</v>
      </c>
      <c r="J24" s="594">
        <f>SUM(J22:J23)</f>
        <v>161.20684200559106</v>
      </c>
      <c r="K24" s="594">
        <f>SUM(K22:K23)</f>
        <v>109.7615945074226</v>
      </c>
      <c r="L24" s="594">
        <f>SUM(L22:L23)</f>
        <v>49.341266780914822</v>
      </c>
      <c r="M24" s="595">
        <f>SUM(M22:M23)</f>
        <v>8.4393374733123245</v>
      </c>
    </row>
    <row r="25" spans="2:13" ht="2.1" customHeight="1">
      <c r="B25" s="596"/>
      <c r="C25" s="585"/>
      <c r="D25" s="585"/>
      <c r="E25" s="597"/>
      <c r="F25" s="597"/>
      <c r="G25" s="598"/>
      <c r="H25" s="598"/>
      <c r="I25" s="598"/>
      <c r="J25" s="598"/>
      <c r="K25" s="598"/>
      <c r="L25" s="598"/>
      <c r="M25" s="599"/>
    </row>
    <row r="26" spans="2:13" ht="14.1" customHeight="1">
      <c r="B26" s="577" t="s">
        <v>5</v>
      </c>
      <c r="C26" s="578"/>
      <c r="D26" s="585"/>
      <c r="E26" s="597"/>
      <c r="F26" s="597"/>
      <c r="G26" s="598">
        <f>stub</f>
        <v>0.75136612021857918</v>
      </c>
      <c r="H26" s="598">
        <f>YEARFRAC(G11,H11,0)</f>
        <v>1</v>
      </c>
      <c r="I26" s="598">
        <f>YEARFRAC(H11,I11,0)</f>
        <v>1</v>
      </c>
      <c r="J26" s="598">
        <f>YEARFRAC(I11,J11,0)</f>
        <v>1</v>
      </c>
      <c r="K26" s="598">
        <f>YEARFRAC(J11,K11,0)</f>
        <v>1</v>
      </c>
      <c r="L26" s="598">
        <f>YEARFRAC(K11,L11,0)</f>
        <v>1</v>
      </c>
      <c r="M26" s="599">
        <f>YEARFRAC(L11,M11,0)</f>
        <v>1</v>
      </c>
    </row>
    <row r="27" spans="2:13" ht="14.1" customHeight="1">
      <c r="B27" s="577" t="s">
        <v>96</v>
      </c>
      <c r="C27" s="578"/>
      <c r="D27" s="585"/>
      <c r="E27" s="597"/>
      <c r="F27" s="597"/>
      <c r="G27" s="598">
        <f>G26</f>
        <v>0.75136612021857918</v>
      </c>
      <c r="H27" s="598">
        <f>H26+G27</f>
        <v>1.7513661202185791</v>
      </c>
      <c r="I27" s="598">
        <f t="shared" ref="I27:M27" si="9">I26+H27</f>
        <v>2.7513661202185791</v>
      </c>
      <c r="J27" s="598">
        <f t="shared" si="9"/>
        <v>3.7513661202185791</v>
      </c>
      <c r="K27" s="598">
        <f t="shared" si="9"/>
        <v>4.7513661202185791</v>
      </c>
      <c r="L27" s="598">
        <f t="shared" si="9"/>
        <v>5.7513661202185791</v>
      </c>
      <c r="M27" s="599">
        <f t="shared" si="9"/>
        <v>6.7513661202185791</v>
      </c>
    </row>
    <row r="28" spans="2:13" ht="14.1" customHeight="1">
      <c r="B28" s="577" t="s">
        <v>6</v>
      </c>
      <c r="C28" s="578"/>
      <c r="D28" s="585"/>
      <c r="E28" s="597"/>
      <c r="F28" s="597"/>
      <c r="G28" s="598">
        <f>G26/2</f>
        <v>0.37568306010928959</v>
      </c>
      <c r="H28" s="598">
        <f>G27+(H26/2)</f>
        <v>1.2513661202185791</v>
      </c>
      <c r="I28" s="598">
        <f t="shared" ref="I28:M28" si="10">H27+(I26/2)</f>
        <v>2.2513661202185791</v>
      </c>
      <c r="J28" s="598">
        <f t="shared" si="10"/>
        <v>3.2513661202185791</v>
      </c>
      <c r="K28" s="598">
        <f t="shared" si="10"/>
        <v>4.2513661202185791</v>
      </c>
      <c r="L28" s="598">
        <f t="shared" si="10"/>
        <v>5.2513661202185791</v>
      </c>
      <c r="M28" s="599">
        <f t="shared" si="10"/>
        <v>6.2513661202185791</v>
      </c>
    </row>
    <row r="29" spans="2:13" ht="14.1" customHeight="1">
      <c r="B29" s="577" t="s">
        <v>7</v>
      </c>
      <c r="C29" s="578"/>
      <c r="D29" s="585"/>
      <c r="E29" s="588"/>
      <c r="F29" s="587">
        <f>WACC!$G$23</f>
        <v>0.155</v>
      </c>
      <c r="G29" s="600">
        <f t="shared" ref="G29:M29" si="11">(1+$F$29)^-G28</f>
        <v>0.94730320937616608</v>
      </c>
      <c r="H29" s="600">
        <f t="shared" si="11"/>
        <v>0.83500105691918569</v>
      </c>
      <c r="I29" s="600">
        <f t="shared" si="11"/>
        <v>0.72294463802526898</v>
      </c>
      <c r="J29" s="600">
        <f t="shared" si="11"/>
        <v>0.62592609352837147</v>
      </c>
      <c r="K29" s="600">
        <f t="shared" si="11"/>
        <v>0.54192735370421763</v>
      </c>
      <c r="L29" s="600">
        <f t="shared" si="11"/>
        <v>0.46920117203828365</v>
      </c>
      <c r="M29" s="601">
        <f t="shared" si="11"/>
        <v>0.40623478098552701</v>
      </c>
    </row>
    <row r="30" spans="2:13" ht="14.1" customHeight="1">
      <c r="B30" s="591" t="s">
        <v>8</v>
      </c>
      <c r="C30" s="592"/>
      <c r="D30" s="592"/>
      <c r="E30" s="593"/>
      <c r="F30" s="602"/>
      <c r="G30" s="594">
        <f>G29*G24</f>
        <v>195.93042852768906</v>
      </c>
      <c r="H30" s="594">
        <f>H29*H24</f>
        <v>204.3904645904754</v>
      </c>
      <c r="I30" s="594">
        <f>I29*I24</f>
        <v>148.53722575487254</v>
      </c>
      <c r="J30" s="594">
        <f>J29*J24</f>
        <v>100.90356886660499</v>
      </c>
      <c r="K30" s="594">
        <f>K29*K24</f>
        <v>59.482810449762916</v>
      </c>
      <c r="L30" s="594">
        <f>L29*L24</f>
        <v>23.150980203458865</v>
      </c>
      <c r="M30" s="595">
        <f>M29*M24</f>
        <v>3.4283524101339831</v>
      </c>
    </row>
    <row r="31" spans="2:13" ht="2.1" customHeight="1" thickBot="1">
      <c r="B31" s="568"/>
      <c r="C31" s="569"/>
      <c r="D31" s="569"/>
      <c r="E31" s="569"/>
      <c r="F31" s="569"/>
      <c r="G31" s="569"/>
      <c r="H31" s="569"/>
      <c r="I31" s="569"/>
      <c r="J31" s="569"/>
      <c r="K31" s="569"/>
      <c r="L31" s="569"/>
      <c r="M31" s="603"/>
    </row>
    <row r="32" spans="2:13" ht="14.1" customHeight="1">
      <c r="B32" s="604" t="s">
        <v>8</v>
      </c>
      <c r="C32" s="605"/>
      <c r="D32" s="605"/>
      <c r="E32" s="605"/>
      <c r="F32" s="605"/>
      <c r="G32" s="606">
        <f>SUM(G30:M30)</f>
        <v>735.8238308029978</v>
      </c>
      <c r="H32" s="55"/>
      <c r="I32" s="55"/>
      <c r="J32" s="55"/>
      <c r="K32" s="55"/>
      <c r="L32" s="55"/>
      <c r="M32" s="55"/>
    </row>
    <row r="33" spans="2:17" ht="14.1" customHeight="1">
      <c r="B33" s="566" t="s">
        <v>103</v>
      </c>
      <c r="C33" s="567"/>
      <c r="D33" s="567"/>
      <c r="E33" s="567"/>
      <c r="F33" s="567"/>
      <c r="G33" s="607">
        <f>G32*($Q$33/($Q$33-((PV($F$29,$Q$33,-1)*(1+$F$29)^0.5)*$F$23))-1)</f>
        <v>88.089463449211749</v>
      </c>
      <c r="H33" s="55"/>
      <c r="I33" s="55"/>
      <c r="J33" s="55"/>
      <c r="K33" s="55"/>
      <c r="L33" s="55"/>
      <c r="M33" s="55"/>
      <c r="O33" t="s">
        <v>105</v>
      </c>
      <c r="Q33">
        <v>15</v>
      </c>
    </row>
    <row r="34" spans="2:17" ht="14.1" customHeight="1" thickBot="1">
      <c r="B34" s="608" t="s">
        <v>104</v>
      </c>
      <c r="C34" s="609"/>
      <c r="D34" s="609"/>
      <c r="E34" s="609"/>
      <c r="F34" s="609"/>
      <c r="G34" s="610">
        <f>ROUND(SUM(G32:G33),0)</f>
        <v>824</v>
      </c>
      <c r="H34" s="611"/>
      <c r="I34" s="611"/>
      <c r="J34" s="55"/>
      <c r="K34" s="55"/>
      <c r="L34" s="55"/>
      <c r="M34" s="55"/>
    </row>
    <row r="35" spans="2:17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</row>
    <row r="36" spans="2:17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</row>
    <row r="37" spans="2:17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spans="2:17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</row>
    <row r="39" spans="2:17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spans="2:17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2:17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2:17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spans="2:17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spans="2:17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spans="2:17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</row>
  </sheetData>
  <mergeCells count="2">
    <mergeCell ref="B10:F10"/>
    <mergeCell ref="H10:M10"/>
  </mergeCells>
  <pageMargins left="0.5" right="0.5" top="0.5" bottom="0.5" header="0.5" footer="0.5"/>
  <pageSetup orientation="landscape" r:id="rId1"/>
  <headerFooter>
    <oddFooter>&amp;L&amp;G&amp;R&amp;"Arial,Regular"&amp;10&amp;K616161acuitykp.com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6"/>
  <sheetViews>
    <sheetView showGridLines="0" view="pageBreakPreview" zoomScale="55" zoomScaleNormal="100" zoomScaleSheetLayoutView="55" workbookViewId="0">
      <selection activeCell="O9" sqref="O9"/>
    </sheetView>
  </sheetViews>
  <sheetFormatPr defaultRowHeight="15"/>
  <cols>
    <col min="1" max="1" width="3.5703125" customWidth="1"/>
    <col min="2" max="2" width="12.28515625" customWidth="1"/>
    <col min="3" max="4" width="15" customWidth="1"/>
    <col min="5" max="5" width="33" customWidth="1"/>
    <col min="6" max="6" width="11" customWidth="1"/>
    <col min="7" max="7" width="10.7109375" customWidth="1"/>
    <col min="8" max="9" width="11.7109375" customWidth="1"/>
    <col min="10" max="10" width="2.7109375" customWidth="1"/>
  </cols>
  <sheetData>
    <row r="1" spans="2:9" ht="15.75">
      <c r="B1" s="18" t="str">
        <f>Acq_name</f>
        <v>[Acq.Co. Holdings Ltd.]</v>
      </c>
      <c r="I1" s="34" t="str">
        <f>"Exhibit: "&amp;INDEX(TOC!$B$5:$E$34,MATCH($B$3,TOC!$E$5:$E$36,0),COLUMNS(TOC!L5))</f>
        <v>Exhibit: M</v>
      </c>
    </row>
    <row r="2" spans="2:9">
      <c r="B2" s="19" t="str">
        <f>Targ_name</f>
        <v>[ABC Corporation]</v>
      </c>
    </row>
    <row r="3" spans="2:9">
      <c r="B3" s="20" t="str">
        <f>TOC!E25</f>
        <v>Developed Technology</v>
      </c>
    </row>
    <row r="4" spans="2:9">
      <c r="B4" s="25" t="str">
        <f>"Valuation as of "&amp;TEXT(Val_date,"DD MMMM YYYY")</f>
        <v>Valuation as of 31 March 2020</v>
      </c>
    </row>
    <row r="5" spans="2:9">
      <c r="B5" s="27" t="str">
        <f>'Key Inputs and Assumptions'!C24</f>
        <v>(in USD ‘000s unless specified otherwise)</v>
      </c>
    </row>
    <row r="7" spans="2:9">
      <c r="B7" s="87" t="s">
        <v>262</v>
      </c>
      <c r="C7" s="88"/>
      <c r="D7" s="88"/>
      <c r="E7" s="88"/>
      <c r="F7" s="88"/>
      <c r="G7" s="88"/>
      <c r="H7" s="88" t="s">
        <v>259</v>
      </c>
      <c r="I7" s="89"/>
    </row>
    <row r="8" spans="2:9">
      <c r="B8" s="90" t="s">
        <v>254</v>
      </c>
      <c r="C8" s="88" t="s">
        <v>255</v>
      </c>
      <c r="D8" s="88" t="s">
        <v>255</v>
      </c>
      <c r="E8" s="88" t="s">
        <v>256</v>
      </c>
      <c r="F8" s="93" t="s">
        <v>257</v>
      </c>
      <c r="G8" s="93" t="s">
        <v>258</v>
      </c>
      <c r="H8" s="91" t="s">
        <v>260</v>
      </c>
      <c r="I8" s="91" t="s">
        <v>261</v>
      </c>
    </row>
    <row r="9" spans="2:9" ht="15.75" thickBot="1">
      <c r="B9" s="66"/>
      <c r="C9" s="67"/>
      <c r="D9" s="67"/>
      <c r="E9" s="67"/>
      <c r="F9" s="94"/>
      <c r="G9" s="94"/>
      <c r="H9" s="67"/>
      <c r="I9" s="92"/>
    </row>
    <row r="10" spans="2:9" ht="15.75" thickBot="1">
      <c r="B10" s="95">
        <v>43878</v>
      </c>
      <c r="C10" s="96" t="s">
        <v>263</v>
      </c>
      <c r="D10" s="96" t="s">
        <v>550</v>
      </c>
      <c r="E10" s="97"/>
      <c r="F10" s="98">
        <v>5</v>
      </c>
      <c r="G10" s="98" t="s">
        <v>39</v>
      </c>
      <c r="H10" s="99">
        <v>0.128</v>
      </c>
      <c r="I10" s="100">
        <v>0.128</v>
      </c>
    </row>
    <row r="11" spans="2:9" ht="15.75" thickBot="1">
      <c r="B11" s="95">
        <v>43339</v>
      </c>
      <c r="C11" s="96" t="s">
        <v>264</v>
      </c>
      <c r="D11" s="96" t="s">
        <v>551</v>
      </c>
      <c r="E11" s="97"/>
      <c r="F11" s="98">
        <v>5</v>
      </c>
      <c r="G11" s="98" t="s">
        <v>39</v>
      </c>
      <c r="H11" s="99">
        <v>0.15</v>
      </c>
      <c r="I11" s="100">
        <v>0.15</v>
      </c>
    </row>
    <row r="12" spans="2:9" ht="15.75" thickBot="1">
      <c r="B12" s="95">
        <v>43228</v>
      </c>
      <c r="C12" s="96" t="s">
        <v>265</v>
      </c>
      <c r="D12" s="96" t="s">
        <v>552</v>
      </c>
      <c r="E12" s="97"/>
      <c r="F12" s="98">
        <v>5</v>
      </c>
      <c r="G12" s="98" t="s">
        <v>39</v>
      </c>
      <c r="H12" s="99">
        <v>0.35</v>
      </c>
      <c r="I12" s="100">
        <v>0.35</v>
      </c>
    </row>
    <row r="13" spans="2:9" ht="15.75" thickBot="1">
      <c r="B13" s="95">
        <v>43051</v>
      </c>
      <c r="C13" s="96" t="s">
        <v>266</v>
      </c>
      <c r="D13" s="96" t="s">
        <v>553</v>
      </c>
      <c r="E13" s="97"/>
      <c r="F13" s="98">
        <v>5</v>
      </c>
      <c r="G13" s="98" t="s">
        <v>39</v>
      </c>
      <c r="H13" s="99">
        <v>0.1</v>
      </c>
      <c r="I13" s="100">
        <v>0.1</v>
      </c>
    </row>
    <row r="14" spans="2:9" ht="15.75" thickBot="1">
      <c r="B14" s="95">
        <v>43039</v>
      </c>
      <c r="C14" s="96" t="s">
        <v>267</v>
      </c>
      <c r="D14" s="96" t="s">
        <v>554</v>
      </c>
      <c r="E14" s="97"/>
      <c r="F14" s="98">
        <v>5</v>
      </c>
      <c r="G14" s="98" t="s">
        <v>39</v>
      </c>
      <c r="H14" s="99">
        <v>6.7000000000000004E-2</v>
      </c>
      <c r="I14" s="100">
        <v>6.7000000000000004E-2</v>
      </c>
    </row>
    <row r="15" spans="2:9" ht="15.75" thickBot="1">
      <c r="B15" s="95">
        <v>42776</v>
      </c>
      <c r="C15" s="96" t="s">
        <v>268</v>
      </c>
      <c r="D15" s="96" t="s">
        <v>555</v>
      </c>
      <c r="E15" s="97"/>
      <c r="F15" s="98">
        <v>5</v>
      </c>
      <c r="G15" s="98" t="s">
        <v>39</v>
      </c>
      <c r="H15" s="99">
        <v>0.2</v>
      </c>
      <c r="I15" s="100">
        <v>0.2</v>
      </c>
    </row>
    <row r="16" spans="2:9" ht="15.75" thickBot="1">
      <c r="B16" s="95">
        <v>42993</v>
      </c>
      <c r="C16" s="96" t="s">
        <v>269</v>
      </c>
      <c r="D16" s="96" t="s">
        <v>556</v>
      </c>
      <c r="E16" s="97"/>
      <c r="F16" s="98">
        <v>5</v>
      </c>
      <c r="G16" s="98" t="s">
        <v>39</v>
      </c>
      <c r="H16" s="99">
        <v>0.4</v>
      </c>
      <c r="I16" s="100">
        <v>0.4</v>
      </c>
    </row>
    <row r="17" spans="2:9" ht="15.75" thickBot="1">
      <c r="B17" s="95">
        <v>42771</v>
      </c>
      <c r="C17" s="96" t="s">
        <v>270</v>
      </c>
      <c r="D17" s="96" t="s">
        <v>557</v>
      </c>
      <c r="E17" s="97"/>
      <c r="F17" s="98">
        <v>5</v>
      </c>
      <c r="G17" s="98" t="s">
        <v>39</v>
      </c>
      <c r="H17" s="100">
        <v>0.36169974485065065</v>
      </c>
      <c r="I17" s="100">
        <v>0.36169974485065065</v>
      </c>
    </row>
    <row r="18" spans="2:9" ht="15.75" thickBot="1">
      <c r="B18" s="95">
        <v>42837</v>
      </c>
      <c r="C18" s="96" t="s">
        <v>271</v>
      </c>
      <c r="D18" s="96" t="s">
        <v>558</v>
      </c>
      <c r="E18" s="97"/>
      <c r="F18" s="98">
        <v>5</v>
      </c>
      <c r="G18" s="98" t="s">
        <v>39</v>
      </c>
      <c r="H18" s="99">
        <v>0.12770378012153305</v>
      </c>
      <c r="I18" s="100">
        <v>0.12770378012153305</v>
      </c>
    </row>
    <row r="19" spans="2:9" ht="15.75" thickBot="1">
      <c r="B19" s="95">
        <v>42487</v>
      </c>
      <c r="C19" s="96" t="s">
        <v>272</v>
      </c>
      <c r="D19" s="96" t="s">
        <v>559</v>
      </c>
      <c r="E19" s="97"/>
      <c r="F19" s="98">
        <v>5</v>
      </c>
      <c r="G19" s="98" t="s">
        <v>39</v>
      </c>
      <c r="H19" s="100">
        <v>9.1426514384727542E-2</v>
      </c>
      <c r="I19" s="100">
        <v>9.1426514384727542E-2</v>
      </c>
    </row>
    <row r="20" spans="2:9" ht="15.75" thickBot="1">
      <c r="B20" s="95">
        <v>42447</v>
      </c>
      <c r="C20" s="96" t="s">
        <v>273</v>
      </c>
      <c r="D20" s="96" t="s">
        <v>560</v>
      </c>
      <c r="E20" s="97"/>
      <c r="F20" s="98">
        <v>5</v>
      </c>
      <c r="G20" s="98" t="s">
        <v>39</v>
      </c>
      <c r="H20" s="99">
        <v>0.22144105320148083</v>
      </c>
      <c r="I20" s="100">
        <v>0.22144105320148083</v>
      </c>
    </row>
    <row r="21" spans="2:9">
      <c r="B21" s="101">
        <v>42356</v>
      </c>
      <c r="C21" s="102" t="s">
        <v>281</v>
      </c>
      <c r="D21" s="102" t="s">
        <v>561</v>
      </c>
      <c r="E21" s="103"/>
      <c r="F21" s="104">
        <v>5</v>
      </c>
      <c r="G21" s="104" t="s">
        <v>39</v>
      </c>
      <c r="H21" s="105">
        <v>0.18285302876945508</v>
      </c>
      <c r="I21" s="106">
        <v>0.18285302876945508</v>
      </c>
    </row>
    <row r="22" spans="2:9">
      <c r="B22" s="3"/>
      <c r="C22" s="3"/>
      <c r="D22" s="3"/>
      <c r="E22" s="3"/>
      <c r="F22" s="3"/>
      <c r="G22" s="3"/>
      <c r="H22" s="3"/>
      <c r="I22" s="3"/>
    </row>
    <row r="23" spans="2:9">
      <c r="B23" s="3"/>
      <c r="C23" s="3"/>
      <c r="D23" s="3"/>
      <c r="E23" s="3"/>
      <c r="F23" s="3"/>
      <c r="G23" s="107" t="s">
        <v>261</v>
      </c>
      <c r="H23" s="108">
        <f>MAX(H10:H21)</f>
        <v>0.4</v>
      </c>
      <c r="I23" s="109">
        <f>MAX(I10:I21)</f>
        <v>0.4</v>
      </c>
    </row>
    <row r="24" spans="2:9">
      <c r="B24" s="3"/>
      <c r="C24" s="3"/>
      <c r="D24" s="3"/>
      <c r="E24" s="3"/>
      <c r="F24" s="3"/>
      <c r="G24" s="110" t="s">
        <v>252</v>
      </c>
      <c r="H24" s="111">
        <f>MEDIAN(H10:H21)</f>
        <v>0.16642651438472755</v>
      </c>
      <c r="I24" s="112">
        <f>MEDIAN(I10:I21)</f>
        <v>0.16642651438472755</v>
      </c>
    </row>
    <row r="25" spans="2:9">
      <c r="B25" s="3"/>
      <c r="C25" s="3"/>
      <c r="D25" s="3"/>
      <c r="E25" s="3"/>
      <c r="F25" s="3"/>
      <c r="G25" s="110" t="s">
        <v>164</v>
      </c>
      <c r="H25" s="111">
        <f>AVERAGE(H10:H21)</f>
        <v>0.19834367677732059</v>
      </c>
      <c r="I25" s="112">
        <f>AVERAGE(I10:I21)</f>
        <v>0.19834367677732059</v>
      </c>
    </row>
    <row r="26" spans="2:9">
      <c r="B26" s="3"/>
      <c r="C26" s="3"/>
      <c r="D26" s="3"/>
      <c r="E26" s="3"/>
      <c r="F26" s="3"/>
      <c r="G26" s="113" t="s">
        <v>260</v>
      </c>
      <c r="H26" s="114">
        <f>+MIN(H10:H21)</f>
        <v>6.7000000000000004E-2</v>
      </c>
      <c r="I26" s="115">
        <f>+MIN(I10:I21)</f>
        <v>6.7000000000000004E-2</v>
      </c>
    </row>
  </sheetData>
  <phoneticPr fontId="34" type="noConversion"/>
  <pageMargins left="0.5" right="0.5" top="0.5" bottom="0.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7:N13"/>
  <sheetViews>
    <sheetView showGridLines="0" view="pageBreakPreview" zoomScale="55" zoomScaleNormal="100" zoomScaleSheetLayoutView="55" workbookViewId="0">
      <selection activeCell="B8" sqref="B8:N13"/>
    </sheetView>
  </sheetViews>
  <sheetFormatPr defaultRowHeight="15"/>
  <sheetData>
    <row r="7" spans="2:14" ht="15.75" thickBot="1"/>
    <row r="8" spans="2:14">
      <c r="B8" s="761" t="s">
        <v>415</v>
      </c>
      <c r="C8" s="761"/>
      <c r="D8" s="761"/>
      <c r="E8" s="761"/>
      <c r="F8" s="761"/>
      <c r="G8" s="761"/>
      <c r="H8" s="761"/>
      <c r="I8" s="761"/>
      <c r="J8" s="761"/>
      <c r="K8" s="761"/>
      <c r="L8" s="761"/>
      <c r="M8" s="761"/>
      <c r="N8" s="761"/>
    </row>
    <row r="9" spans="2:14">
      <c r="B9" s="762"/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/>
    </row>
    <row r="10" spans="2:14">
      <c r="B10" s="762"/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</row>
    <row r="11" spans="2:14">
      <c r="B11" s="762"/>
      <c r="C11" s="762"/>
      <c r="D11" s="762"/>
      <c r="E11" s="762"/>
      <c r="F11" s="762"/>
      <c r="G11" s="762"/>
      <c r="H11" s="762"/>
      <c r="I11" s="762"/>
      <c r="J11" s="762"/>
      <c r="K11" s="762"/>
      <c r="L11" s="762"/>
      <c r="M11" s="762"/>
      <c r="N11" s="762"/>
    </row>
    <row r="12" spans="2:14">
      <c r="B12" s="762"/>
      <c r="C12" s="762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</row>
    <row r="13" spans="2:14" ht="15.75" thickBot="1"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</row>
  </sheetData>
  <mergeCells count="1">
    <mergeCell ref="B8:N13"/>
  </mergeCells>
  <pageMargins left="0.5" right="0.5" top="0.5" bottom="0.5" header="0.3" footer="0.3"/>
  <pageSetup scale="92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9"/>
  <sheetViews>
    <sheetView showGridLines="0" view="pageBreakPreview" zoomScale="90" zoomScaleNormal="100" zoomScaleSheetLayoutView="90" workbookViewId="0"/>
  </sheetViews>
  <sheetFormatPr defaultRowHeight="15"/>
  <cols>
    <col min="1" max="1" width="3.5703125" customWidth="1"/>
    <col min="2" max="2" width="17.7109375" customWidth="1"/>
    <col min="4" max="4" width="7.5703125" customWidth="1"/>
    <col min="5" max="5" width="11" customWidth="1"/>
    <col min="6" max="16" width="10.7109375" customWidth="1"/>
    <col min="17" max="17" width="2.7109375" customWidth="1"/>
    <col min="19" max="19" width="3.5703125" customWidth="1"/>
    <col min="20" max="20" width="17.7109375" customWidth="1"/>
    <col min="22" max="22" width="7.5703125" customWidth="1"/>
    <col min="23" max="23" width="11" customWidth="1"/>
    <col min="24" max="34" width="10.7109375" customWidth="1"/>
    <col min="35" max="35" width="2.7109375" customWidth="1"/>
  </cols>
  <sheetData>
    <row r="1" spans="2:36" ht="15.75">
      <c r="B1" s="18" t="str">
        <f>Acq_name</f>
        <v>[Acq.Co. Holdings Ltd.]</v>
      </c>
      <c r="P1" s="34" t="str">
        <f>"Exhibit: "&amp;INDEX(TOC!$B$5:$E$136,MATCH($B$3,TOC!$E$5:$E$136,0),COLUMNS(TOC!H5))&amp;R1</f>
        <v>Exhibit: A.1</v>
      </c>
      <c r="R1" s="377" t="s">
        <v>304</v>
      </c>
      <c r="T1" s="18" t="str">
        <f>B1</f>
        <v>[Acq.Co. Holdings Ltd.]</v>
      </c>
      <c r="AH1" s="34" t="str">
        <f>"Exhibit: "&amp;INDEX(TOC!$B$5:$E$136,MATCH($B$3,TOC!$E$5:$E$136,0),COLUMNS(TOC!AA5))&amp;AJ1</f>
        <v>Exhibit: A.2</v>
      </c>
      <c r="AJ1" s="377" t="s">
        <v>305</v>
      </c>
    </row>
    <row r="2" spans="2:36">
      <c r="B2" s="19" t="str">
        <f>Targ_name</f>
        <v>[ABC Corporation]</v>
      </c>
      <c r="T2" s="19" t="str">
        <f>B2</f>
        <v>[ABC Corporation]</v>
      </c>
    </row>
    <row r="3" spans="2:36">
      <c r="B3" s="20" t="str">
        <f>TOC!E35</f>
        <v>Customer Relationships</v>
      </c>
      <c r="T3" s="20" t="str">
        <f>B3</f>
        <v>Customer Relationships</v>
      </c>
    </row>
    <row r="4" spans="2:36">
      <c r="B4" s="25" t="str">
        <f>"Valuation as of "&amp;TEXT(Val_date,"DD MMMM YYYY")</f>
        <v>Valuation as of 31 March 2020</v>
      </c>
      <c r="T4" s="25" t="str">
        <f>B4</f>
        <v>Valuation as of 31 March 2020</v>
      </c>
    </row>
    <row r="5" spans="2:36">
      <c r="B5" s="27" t="str">
        <f>'Key Inputs and Assumptions'!C24</f>
        <v>(in USD ‘000s unless specified otherwise)</v>
      </c>
      <c r="T5" s="27" t="str">
        <f>B5</f>
        <v>(in USD ‘000s unless specified otherwise)</v>
      </c>
    </row>
    <row r="6" spans="2:36" ht="15.75" thickBot="1"/>
    <row r="7" spans="2:36" s="55" customFormat="1" ht="24.95" customHeight="1">
      <c r="B7" s="767" t="s">
        <v>436</v>
      </c>
      <c r="C7" s="768"/>
      <c r="D7" s="768"/>
      <c r="E7" s="768"/>
      <c r="F7" s="760" t="s">
        <v>128</v>
      </c>
      <c r="G7" s="769" t="s">
        <v>0</v>
      </c>
      <c r="H7" s="769"/>
      <c r="I7" s="769"/>
      <c r="J7" s="769"/>
      <c r="K7" s="769"/>
      <c r="L7" s="769"/>
      <c r="M7" s="769"/>
      <c r="N7" s="769"/>
      <c r="O7" s="769"/>
      <c r="P7" s="797"/>
      <c r="T7" s="767" t="s">
        <v>436</v>
      </c>
      <c r="U7" s="768"/>
      <c r="V7" s="768"/>
      <c r="W7" s="768"/>
      <c r="X7" s="760" t="s">
        <v>128</v>
      </c>
      <c r="Y7" s="769" t="s">
        <v>0</v>
      </c>
      <c r="Z7" s="769"/>
      <c r="AA7" s="769"/>
      <c r="AB7" s="769"/>
      <c r="AC7" s="769"/>
      <c r="AD7" s="769"/>
      <c r="AE7" s="769"/>
      <c r="AF7" s="769"/>
      <c r="AG7" s="769"/>
      <c r="AH7" s="797"/>
    </row>
    <row r="8" spans="2:36" s="55" customFormat="1" ht="12.75">
      <c r="B8" s="234"/>
      <c r="C8" s="235"/>
      <c r="D8" s="236"/>
      <c r="E8" s="237"/>
      <c r="F8" s="238">
        <f>'Key Inputs and Assumptions'!C16</f>
        <v>44196</v>
      </c>
      <c r="G8" s="238">
        <f>EOMONTH(F8,12)</f>
        <v>44561</v>
      </c>
      <c r="H8" s="238">
        <f t="shared" ref="H8:P8" si="0">EOMONTH(G8,12)</f>
        <v>44926</v>
      </c>
      <c r="I8" s="238">
        <f t="shared" si="0"/>
        <v>45291</v>
      </c>
      <c r="J8" s="238">
        <f t="shared" si="0"/>
        <v>45657</v>
      </c>
      <c r="K8" s="238">
        <f t="shared" si="0"/>
        <v>46022</v>
      </c>
      <c r="L8" s="238">
        <f t="shared" si="0"/>
        <v>46387</v>
      </c>
      <c r="M8" s="238">
        <f t="shared" si="0"/>
        <v>46752</v>
      </c>
      <c r="N8" s="238">
        <f t="shared" si="0"/>
        <v>47118</v>
      </c>
      <c r="O8" s="238">
        <f t="shared" si="0"/>
        <v>47483</v>
      </c>
      <c r="P8" s="323">
        <f t="shared" si="0"/>
        <v>47848</v>
      </c>
      <c r="T8" s="234"/>
      <c r="U8" s="235"/>
      <c r="V8" s="236"/>
      <c r="W8" s="237"/>
      <c r="X8" s="238">
        <f>EOMONTH(P8,12)</f>
        <v>48213</v>
      </c>
      <c r="Y8" s="238">
        <f t="shared" ref="Y8:AH8" si="1">EOMONTH(X8,12)</f>
        <v>48579</v>
      </c>
      <c r="Z8" s="238">
        <f t="shared" si="1"/>
        <v>48944</v>
      </c>
      <c r="AA8" s="238">
        <f t="shared" si="1"/>
        <v>49309</v>
      </c>
      <c r="AB8" s="238">
        <f t="shared" si="1"/>
        <v>49674</v>
      </c>
      <c r="AC8" s="238">
        <f t="shared" si="1"/>
        <v>50040</v>
      </c>
      <c r="AD8" s="238">
        <f t="shared" si="1"/>
        <v>50405</v>
      </c>
      <c r="AE8" s="238">
        <f t="shared" si="1"/>
        <v>50770</v>
      </c>
      <c r="AF8" s="238">
        <f t="shared" si="1"/>
        <v>51135</v>
      </c>
      <c r="AG8" s="238">
        <f t="shared" si="1"/>
        <v>51501</v>
      </c>
      <c r="AH8" s="323">
        <f t="shared" si="1"/>
        <v>51866</v>
      </c>
    </row>
    <row r="9" spans="2:36" s="55" customFormat="1" ht="12">
      <c r="B9" s="566"/>
      <c r="C9" s="567"/>
      <c r="D9" s="567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792"/>
      <c r="T9" s="566"/>
      <c r="U9" s="567"/>
      <c r="V9" s="567"/>
      <c r="W9" s="567"/>
      <c r="X9" s="567"/>
      <c r="Y9" s="567"/>
      <c r="Z9" s="567"/>
      <c r="AA9" s="567"/>
      <c r="AB9" s="567"/>
      <c r="AC9" s="567"/>
      <c r="AD9" s="567"/>
      <c r="AE9" s="567"/>
      <c r="AF9" s="567"/>
      <c r="AG9" s="567"/>
      <c r="AH9" s="792"/>
    </row>
    <row r="10" spans="2:36" s="55" customFormat="1" ht="12">
      <c r="B10" s="566" t="s">
        <v>417</v>
      </c>
      <c r="C10" s="567"/>
      <c r="D10" s="567"/>
      <c r="E10" s="567"/>
      <c r="F10" s="625">
        <f>IRR!G9</f>
        <v>24894.522170329663</v>
      </c>
      <c r="G10" s="625">
        <f>F13/stub</f>
        <v>32469.69895292307</v>
      </c>
      <c r="H10" s="625">
        <f t="shared" ref="H10:P10" si="2">G13</f>
        <v>33513.344534122698</v>
      </c>
      <c r="I10" s="625">
        <f t="shared" si="2"/>
        <v>34921.763708534345</v>
      </c>
      <c r="J10" s="625">
        <f t="shared" si="2"/>
        <v>36621.116326599986</v>
      </c>
      <c r="K10" s="625">
        <f t="shared" si="2"/>
        <v>38409.848864467793</v>
      </c>
      <c r="L10" s="625">
        <f t="shared" si="2"/>
        <v>39523.734481537358</v>
      </c>
      <c r="M10" s="625">
        <f t="shared" si="2"/>
        <v>39895.257585663807</v>
      </c>
      <c r="N10" s="625">
        <f t="shared" si="2"/>
        <v>40270.273006969044</v>
      </c>
      <c r="O10" s="625">
        <f t="shared" si="2"/>
        <v>40648.813573234554</v>
      </c>
      <c r="P10" s="626">
        <f t="shared" si="2"/>
        <v>41030.912420822962</v>
      </c>
      <c r="T10" s="566" t="str">
        <f>B10</f>
        <v>Beginning customer relationships revenue</v>
      </c>
      <c r="U10" s="567"/>
      <c r="V10" s="567"/>
      <c r="W10" s="567"/>
      <c r="X10" s="625">
        <f>P13</f>
        <v>41416.602997578702</v>
      </c>
      <c r="Y10" s="625">
        <f t="shared" ref="Y10" si="3">X13</f>
        <v>41805.919065755945</v>
      </c>
      <c r="Z10" s="625">
        <f t="shared" ref="Z10" si="4">Y13</f>
        <v>42198.894704974053</v>
      </c>
      <c r="AA10" s="625">
        <f t="shared" ref="AA10" si="5">Z13</f>
        <v>42595.564315200812</v>
      </c>
      <c r="AB10" s="625">
        <f t="shared" ref="AB10" si="6">AA13</f>
        <v>42995.962619763697</v>
      </c>
      <c r="AC10" s="625">
        <f t="shared" ref="AC10" si="7">AB13</f>
        <v>43400.124668389479</v>
      </c>
      <c r="AD10" s="625">
        <f t="shared" ref="AD10" si="8">AC13</f>
        <v>43808.085840272346</v>
      </c>
      <c r="AE10" s="625">
        <f t="shared" ref="AE10" si="9">AD13</f>
        <v>44219.881847170902</v>
      </c>
      <c r="AF10" s="625">
        <f t="shared" ref="AF10" si="10">AE13</f>
        <v>44635.548736534307</v>
      </c>
      <c r="AG10" s="625">
        <f t="shared" ref="AG10" si="11">AF13</f>
        <v>45055.122894657732</v>
      </c>
      <c r="AH10" s="626">
        <f t="shared" ref="AH10" si="12">AG13</f>
        <v>45478.64104986751</v>
      </c>
    </row>
    <row r="11" spans="2:36" s="55" customFormat="1" ht="12">
      <c r="B11" s="566" t="s">
        <v>418</v>
      </c>
      <c r="C11" s="567"/>
      <c r="D11" s="567"/>
      <c r="E11" s="567"/>
      <c r="F11" s="625"/>
      <c r="G11" s="625">
        <f>G10*G45</f>
        <v>1727.5913880184576</v>
      </c>
      <c r="H11" s="625">
        <f>H10*H45</f>
        <v>2121.1082296878594</v>
      </c>
      <c r="I11" s="625">
        <f>I10*I45</f>
        <v>2446.7223390166587</v>
      </c>
      <c r="J11" s="625">
        <f>J10*J45</f>
        <v>2572.6070044895996</v>
      </c>
      <c r="K11" s="625">
        <f>K10*K45</f>
        <v>1920.4924432233913</v>
      </c>
      <c r="L11" s="625">
        <f>L10*L45</f>
        <v>1185.7120344461218</v>
      </c>
      <c r="M11" s="625">
        <f>M10*M45</f>
        <v>1196.8577275699154</v>
      </c>
      <c r="N11" s="625">
        <f>N10*N45</f>
        <v>1208.1081902090723</v>
      </c>
      <c r="O11" s="625">
        <f>O10*O45</f>
        <v>1219.4644071970376</v>
      </c>
      <c r="P11" s="626">
        <f>P10*P45</f>
        <v>1230.92737262469</v>
      </c>
      <c r="T11" s="566" t="str">
        <f>B11</f>
        <v xml:space="preserve">  Growth</v>
      </c>
      <c r="U11" s="567"/>
      <c r="V11" s="567"/>
      <c r="W11" s="567"/>
      <c r="X11" s="625">
        <f>X10*X45</f>
        <v>1242.4980899273621</v>
      </c>
      <c r="Y11" s="625">
        <f>Y10*Y45</f>
        <v>1254.1775719726795</v>
      </c>
      <c r="Z11" s="625">
        <f t="shared" ref="Z11:AH11" si="13">Z10*Z45</f>
        <v>1265.9668411492228</v>
      </c>
      <c r="AA11" s="625">
        <f t="shared" si="13"/>
        <v>1277.8669294560254</v>
      </c>
      <c r="AB11" s="625">
        <f t="shared" si="13"/>
        <v>1289.8788785929121</v>
      </c>
      <c r="AC11" s="625">
        <f t="shared" si="13"/>
        <v>1302.0037400516856</v>
      </c>
      <c r="AD11" s="625">
        <f t="shared" si="13"/>
        <v>1314.2425752081715</v>
      </c>
      <c r="AE11" s="625">
        <f t="shared" si="13"/>
        <v>1326.5964554151283</v>
      </c>
      <c r="AF11" s="625">
        <f t="shared" si="13"/>
        <v>1339.0664620960304</v>
      </c>
      <c r="AG11" s="625">
        <f t="shared" si="13"/>
        <v>1351.6536868397332</v>
      </c>
      <c r="AH11" s="626">
        <f t="shared" si="13"/>
        <v>1364.3592314960265</v>
      </c>
    </row>
    <row r="12" spans="2:36" s="55" customFormat="1" ht="12">
      <c r="B12" s="566" t="s">
        <v>419</v>
      </c>
      <c r="C12" s="567"/>
      <c r="D12" s="567"/>
      <c r="E12" s="815">
        <v>0.02</v>
      </c>
      <c r="F12" s="625">
        <f>(F11+F10)*-$E$12</f>
        <v>-497.89044340659325</v>
      </c>
      <c r="G12" s="625">
        <f t="shared" ref="G12:P12" si="14">(G11+G10)*-$E$12</f>
        <v>-683.94580681883065</v>
      </c>
      <c r="H12" s="625">
        <f t="shared" si="14"/>
        <v>-712.68905527621121</v>
      </c>
      <c r="I12" s="625">
        <f t="shared" si="14"/>
        <v>-747.3697209510201</v>
      </c>
      <c r="J12" s="625">
        <f t="shared" si="14"/>
        <v>-783.87446662179173</v>
      </c>
      <c r="K12" s="625">
        <f t="shared" si="14"/>
        <v>-806.6068261538237</v>
      </c>
      <c r="L12" s="625">
        <f t="shared" si="14"/>
        <v>-814.18893031966957</v>
      </c>
      <c r="M12" s="625">
        <f t="shared" si="14"/>
        <v>-821.84230626467445</v>
      </c>
      <c r="N12" s="625">
        <f t="shared" si="14"/>
        <v>-829.56762394356235</v>
      </c>
      <c r="O12" s="625">
        <f t="shared" si="14"/>
        <v>-837.36555960863188</v>
      </c>
      <c r="P12" s="626">
        <f t="shared" si="14"/>
        <v>-845.2367958689531</v>
      </c>
      <c r="T12" s="566" t="str">
        <f>B12</f>
        <v xml:space="preserve">  Attrition</v>
      </c>
      <c r="U12" s="567"/>
      <c r="V12" s="567"/>
      <c r="W12" s="798">
        <f>E12</f>
        <v>0.02</v>
      </c>
      <c r="X12" s="625">
        <f t="shared" ref="X12:AH12" si="15">(X11+X10)*-$E$12</f>
        <v>-853.18202175012141</v>
      </c>
      <c r="Y12" s="625">
        <f t="shared" si="15"/>
        <v>-861.20193275457245</v>
      </c>
      <c r="Z12" s="625">
        <f t="shared" si="15"/>
        <v>-869.29723092246559</v>
      </c>
      <c r="AA12" s="625">
        <f t="shared" si="15"/>
        <v>-877.46862489313673</v>
      </c>
      <c r="AB12" s="625">
        <f t="shared" si="15"/>
        <v>-885.71682996713218</v>
      </c>
      <c r="AC12" s="625">
        <f t="shared" si="15"/>
        <v>-894.04256816882332</v>
      </c>
      <c r="AD12" s="625">
        <f t="shared" si="15"/>
        <v>-902.44656830961037</v>
      </c>
      <c r="AE12" s="625">
        <f t="shared" si="15"/>
        <v>-910.9295660517206</v>
      </c>
      <c r="AF12" s="625">
        <f t="shared" si="15"/>
        <v>-919.49230397260681</v>
      </c>
      <c r="AG12" s="625">
        <f t="shared" si="15"/>
        <v>-928.13553162994924</v>
      </c>
      <c r="AH12" s="626">
        <f t="shared" si="15"/>
        <v>-936.86000562727077</v>
      </c>
    </row>
    <row r="13" spans="2:36" s="55" customFormat="1" ht="12">
      <c r="B13" s="805" t="s">
        <v>420</v>
      </c>
      <c r="C13" s="806"/>
      <c r="D13" s="806"/>
      <c r="E13" s="806"/>
      <c r="F13" s="807">
        <f>SUM(F10:F12)</f>
        <v>24396.631726923071</v>
      </c>
      <c r="G13" s="807">
        <f t="shared" ref="G13:P13" si="16">SUM(G10:G12)</f>
        <v>33513.344534122698</v>
      </c>
      <c r="H13" s="807">
        <f t="shared" si="16"/>
        <v>34921.763708534345</v>
      </c>
      <c r="I13" s="807">
        <f t="shared" si="16"/>
        <v>36621.116326599986</v>
      </c>
      <c r="J13" s="807">
        <f t="shared" si="16"/>
        <v>38409.848864467793</v>
      </c>
      <c r="K13" s="807">
        <f t="shared" si="16"/>
        <v>39523.734481537358</v>
      </c>
      <c r="L13" s="807">
        <f t="shared" si="16"/>
        <v>39895.257585663807</v>
      </c>
      <c r="M13" s="807">
        <f t="shared" si="16"/>
        <v>40270.273006969044</v>
      </c>
      <c r="N13" s="807">
        <f t="shared" si="16"/>
        <v>40648.813573234554</v>
      </c>
      <c r="O13" s="807">
        <f t="shared" si="16"/>
        <v>41030.912420822962</v>
      </c>
      <c r="P13" s="808">
        <f t="shared" si="16"/>
        <v>41416.602997578702</v>
      </c>
      <c r="Q13" s="809"/>
      <c r="R13" s="809"/>
      <c r="S13" s="809"/>
      <c r="T13" s="805" t="str">
        <f>B13</f>
        <v>End of year revenue</v>
      </c>
      <c r="U13" s="806"/>
      <c r="V13" s="806"/>
      <c r="W13" s="806"/>
      <c r="X13" s="807">
        <f t="shared" ref="X13:Y13" si="17">SUM(X10:X12)</f>
        <v>41805.919065755945</v>
      </c>
      <c r="Y13" s="807">
        <f t="shared" si="17"/>
        <v>42198.894704974053</v>
      </c>
      <c r="Z13" s="807">
        <f t="shared" ref="Z13" si="18">SUM(Z10:Z12)</f>
        <v>42595.564315200812</v>
      </c>
      <c r="AA13" s="807">
        <f t="shared" ref="AA13" si="19">SUM(AA10:AA12)</f>
        <v>42995.962619763697</v>
      </c>
      <c r="AB13" s="807">
        <f t="shared" ref="AB13" si="20">SUM(AB10:AB12)</f>
        <v>43400.124668389479</v>
      </c>
      <c r="AC13" s="807">
        <f t="shared" ref="AC13" si="21">SUM(AC10:AC12)</f>
        <v>43808.085840272346</v>
      </c>
      <c r="AD13" s="807">
        <f t="shared" ref="AD13" si="22">SUM(AD10:AD12)</f>
        <v>44219.881847170902</v>
      </c>
      <c r="AE13" s="807">
        <f t="shared" ref="AE13" si="23">SUM(AE10:AE12)</f>
        <v>44635.548736534307</v>
      </c>
      <c r="AF13" s="807">
        <f t="shared" ref="AF13" si="24">SUM(AF10:AF12)</f>
        <v>45055.122894657732</v>
      </c>
      <c r="AG13" s="807">
        <f t="shared" ref="AG13" si="25">SUM(AG10:AG12)</f>
        <v>45478.64104986751</v>
      </c>
      <c r="AH13" s="808">
        <f t="shared" ref="AH13" si="26">SUM(AH10:AH12)</f>
        <v>45906.140275736267</v>
      </c>
    </row>
    <row r="14" spans="2:36" s="55" customFormat="1" ht="12">
      <c r="B14" s="566" t="s">
        <v>335</v>
      </c>
      <c r="C14" s="567"/>
      <c r="D14" s="567"/>
      <c r="E14" s="567"/>
      <c r="F14" s="625">
        <f>F$13*-F$46</f>
        <v>-2927.5958072307685</v>
      </c>
      <c r="G14" s="625">
        <f t="shared" ref="G14:P14" si="27">G$13*-G$46</f>
        <v>-4021.6013440947236</v>
      </c>
      <c r="H14" s="625">
        <f t="shared" si="27"/>
        <v>-4190.6116450241216</v>
      </c>
      <c r="I14" s="625">
        <f t="shared" si="27"/>
        <v>-4394.5339591919983</v>
      </c>
      <c r="J14" s="625">
        <f t="shared" si="27"/>
        <v>-4609.1818637361348</v>
      </c>
      <c r="K14" s="625">
        <f t="shared" si="27"/>
        <v>-4742.8481377844828</v>
      </c>
      <c r="L14" s="625">
        <f t="shared" si="27"/>
        <v>-4787.4309102796569</v>
      </c>
      <c r="M14" s="625">
        <f t="shared" si="27"/>
        <v>-4832.4327608362855</v>
      </c>
      <c r="N14" s="625">
        <f t="shared" si="27"/>
        <v>-4877.857628788146</v>
      </c>
      <c r="O14" s="625">
        <f t="shared" si="27"/>
        <v>-4923.7094904987553</v>
      </c>
      <c r="P14" s="626">
        <f t="shared" si="27"/>
        <v>-4969.9923597094439</v>
      </c>
      <c r="T14" s="566" t="str">
        <f>B14</f>
        <v>Cost of goods sold</v>
      </c>
      <c r="U14" s="567"/>
      <c r="V14" s="567"/>
      <c r="W14" s="567"/>
      <c r="X14" s="625">
        <f t="shared" ref="X14:AH14" si="28">X$13*-X$46</f>
        <v>-5016.7102878907135</v>
      </c>
      <c r="Y14" s="625">
        <f t="shared" si="28"/>
        <v>-5063.8673645968865</v>
      </c>
      <c r="Z14" s="625">
        <f t="shared" si="28"/>
        <v>-5111.4677178240972</v>
      </c>
      <c r="AA14" s="625">
        <f t="shared" si="28"/>
        <v>-5159.5155143716438</v>
      </c>
      <c r="AB14" s="625">
        <f t="shared" si="28"/>
        <v>-5208.0149602067377</v>
      </c>
      <c r="AC14" s="625">
        <f t="shared" si="28"/>
        <v>-5256.9703008326815</v>
      </c>
      <c r="AD14" s="625">
        <f t="shared" si="28"/>
        <v>-5306.3858216605076</v>
      </c>
      <c r="AE14" s="625">
        <f t="shared" si="28"/>
        <v>-5356.2658483841169</v>
      </c>
      <c r="AF14" s="625">
        <f t="shared" si="28"/>
        <v>-5406.6147473589281</v>
      </c>
      <c r="AG14" s="625">
        <f t="shared" si="28"/>
        <v>-5457.4369259841014</v>
      </c>
      <c r="AH14" s="626">
        <f t="shared" si="28"/>
        <v>-5508.7368330883519</v>
      </c>
    </row>
    <row r="15" spans="2:36" s="55" customFormat="1" ht="12">
      <c r="B15" s="566" t="s">
        <v>421</v>
      </c>
      <c r="C15" s="567"/>
      <c r="D15" s="567"/>
      <c r="E15" s="567"/>
      <c r="F15" s="816">
        <v>0</v>
      </c>
      <c r="G15" s="816">
        <v>0</v>
      </c>
      <c r="H15" s="816">
        <v>0</v>
      </c>
      <c r="I15" s="816">
        <v>0</v>
      </c>
      <c r="J15" s="816">
        <v>0</v>
      </c>
      <c r="K15" s="816">
        <v>0</v>
      </c>
      <c r="L15" s="816">
        <v>0</v>
      </c>
      <c r="M15" s="816">
        <v>0</v>
      </c>
      <c r="N15" s="816">
        <v>0</v>
      </c>
      <c r="O15" s="816">
        <v>0</v>
      </c>
      <c r="P15" s="817">
        <v>0</v>
      </c>
      <c r="T15" s="566" t="str">
        <f>B15</f>
        <v>Inventory step up</v>
      </c>
      <c r="U15" s="567"/>
      <c r="V15" s="567"/>
      <c r="W15" s="567"/>
      <c r="X15" s="816">
        <v>0</v>
      </c>
      <c r="Y15" s="816">
        <v>0</v>
      </c>
      <c r="Z15" s="816">
        <v>0</v>
      </c>
      <c r="AA15" s="816">
        <v>0</v>
      </c>
      <c r="AB15" s="816">
        <v>0</v>
      </c>
      <c r="AC15" s="816">
        <v>0</v>
      </c>
      <c r="AD15" s="816">
        <v>0</v>
      </c>
      <c r="AE15" s="816">
        <v>0</v>
      </c>
      <c r="AF15" s="816">
        <v>0</v>
      </c>
      <c r="AG15" s="816">
        <v>0</v>
      </c>
      <c r="AH15" s="817">
        <v>0</v>
      </c>
    </row>
    <row r="16" spans="2:36" s="55" customFormat="1" ht="12">
      <c r="B16" s="805" t="s">
        <v>336</v>
      </c>
      <c r="C16" s="806"/>
      <c r="D16" s="806"/>
      <c r="E16" s="806"/>
      <c r="F16" s="807">
        <f>SUM(F13:F15)</f>
        <v>21469.035919692302</v>
      </c>
      <c r="G16" s="807">
        <f t="shared" ref="G16:P16" si="29">SUM(G13:G15)</f>
        <v>29491.743190027973</v>
      </c>
      <c r="H16" s="807">
        <f t="shared" si="29"/>
        <v>30731.152063510224</v>
      </c>
      <c r="I16" s="807">
        <f t="shared" si="29"/>
        <v>32226.582367407987</v>
      </c>
      <c r="J16" s="807">
        <f t="shared" si="29"/>
        <v>33800.667000731657</v>
      </c>
      <c r="K16" s="807">
        <f t="shared" si="29"/>
        <v>34780.886343752878</v>
      </c>
      <c r="L16" s="807">
        <f t="shared" si="29"/>
        <v>35107.826675384153</v>
      </c>
      <c r="M16" s="807">
        <f t="shared" si="29"/>
        <v>35437.840246132757</v>
      </c>
      <c r="N16" s="807">
        <f t="shared" si="29"/>
        <v>35770.95594444641</v>
      </c>
      <c r="O16" s="807">
        <f t="shared" si="29"/>
        <v>36107.202930324209</v>
      </c>
      <c r="P16" s="808">
        <f t="shared" si="29"/>
        <v>36446.610637869257</v>
      </c>
      <c r="Q16" s="809"/>
      <c r="R16" s="809"/>
      <c r="S16" s="809"/>
      <c r="T16" s="805" t="str">
        <f>B16</f>
        <v>Gross profit</v>
      </c>
      <c r="U16" s="806"/>
      <c r="V16" s="806"/>
      <c r="W16" s="806"/>
      <c r="X16" s="807">
        <f t="shared" ref="X16:Y16" si="30">SUM(X13:X15)</f>
        <v>36789.208777865235</v>
      </c>
      <c r="Y16" s="807">
        <f t="shared" si="30"/>
        <v>37135.027340377164</v>
      </c>
      <c r="Z16" s="807">
        <f t="shared" ref="Z16" si="31">SUM(Z13:Z15)</f>
        <v>37484.096597376716</v>
      </c>
      <c r="AA16" s="807">
        <f t="shared" ref="AA16" si="32">SUM(AA13:AA15)</f>
        <v>37836.447105392057</v>
      </c>
      <c r="AB16" s="807">
        <f t="shared" ref="AB16" si="33">SUM(AB13:AB15)</f>
        <v>38192.109708182739</v>
      </c>
      <c r="AC16" s="807">
        <f t="shared" ref="AC16" si="34">SUM(AC13:AC15)</f>
        <v>38551.115539439663</v>
      </c>
      <c r="AD16" s="807">
        <f t="shared" ref="AD16" si="35">SUM(AD13:AD15)</f>
        <v>38913.496025510394</v>
      </c>
      <c r="AE16" s="807">
        <f t="shared" ref="AE16" si="36">SUM(AE13:AE15)</f>
        <v>39279.282888150192</v>
      </c>
      <c r="AF16" s="807">
        <f t="shared" ref="AF16" si="37">SUM(AF13:AF15)</f>
        <v>39648.508147298802</v>
      </c>
      <c r="AG16" s="807">
        <f t="shared" ref="AG16" si="38">SUM(AG13:AG15)</f>
        <v>40021.204123883406</v>
      </c>
      <c r="AH16" s="808">
        <f t="shared" ref="AH16" si="39">SUM(AH13:AH15)</f>
        <v>40397.403442647912</v>
      </c>
    </row>
    <row r="17" spans="2:34" s="55" customFormat="1" ht="12">
      <c r="B17" s="566" t="s">
        <v>207</v>
      </c>
      <c r="C17" s="567"/>
      <c r="D17" s="567"/>
      <c r="E17" s="567"/>
      <c r="F17" s="625">
        <f>F$13*-F48</f>
        <v>-6099.1579317307678</v>
      </c>
      <c r="G17" s="625">
        <f t="shared" ref="G17:P17" si="40">G$13*-G48</f>
        <v>-8378.3361335306745</v>
      </c>
      <c r="H17" s="625">
        <f t="shared" si="40"/>
        <v>-8730.4409271335862</v>
      </c>
      <c r="I17" s="625">
        <f t="shared" si="40"/>
        <v>-9155.2790816499964</v>
      </c>
      <c r="J17" s="625">
        <f t="shared" si="40"/>
        <v>-9602.4622161169482</v>
      </c>
      <c r="K17" s="625">
        <f t="shared" si="40"/>
        <v>-9880.9336203843395</v>
      </c>
      <c r="L17" s="625">
        <f t="shared" si="40"/>
        <v>-9973.8143964159517</v>
      </c>
      <c r="M17" s="625">
        <f t="shared" si="40"/>
        <v>-10067.568251742261</v>
      </c>
      <c r="N17" s="625">
        <f t="shared" si="40"/>
        <v>-10162.203393308639</v>
      </c>
      <c r="O17" s="625">
        <f t="shared" si="40"/>
        <v>-10257.728105205741</v>
      </c>
      <c r="P17" s="626">
        <f t="shared" si="40"/>
        <v>-10354.150749394676</v>
      </c>
      <c r="T17" s="566" t="str">
        <f>B17</f>
        <v>General and administrative</v>
      </c>
      <c r="U17" s="567"/>
      <c r="V17" s="567"/>
      <c r="W17" s="567"/>
      <c r="X17" s="625">
        <f t="shared" ref="X17:Y17" si="41">X$13*-X48</f>
        <v>-10451.479766438986</v>
      </c>
      <c r="Y17" s="625">
        <f t="shared" si="41"/>
        <v>-10549.723676243513</v>
      </c>
      <c r="Z17" s="625">
        <f t="shared" ref="Z17:AH17" si="42">Z$13*-Z48</f>
        <v>-10648.891078800203</v>
      </c>
      <c r="AA17" s="625">
        <f t="shared" si="42"/>
        <v>-10748.990654940924</v>
      </c>
      <c r="AB17" s="625">
        <f t="shared" si="42"/>
        <v>-10850.03116709737</v>
      </c>
      <c r="AC17" s="625">
        <f t="shared" si="42"/>
        <v>-10952.021460068087</v>
      </c>
      <c r="AD17" s="625">
        <f t="shared" si="42"/>
        <v>-11054.970461792725</v>
      </c>
      <c r="AE17" s="625">
        <f t="shared" si="42"/>
        <v>-11158.887184133577</v>
      </c>
      <c r="AF17" s="625">
        <f t="shared" si="42"/>
        <v>-11263.780723664433</v>
      </c>
      <c r="AG17" s="625">
        <f t="shared" si="42"/>
        <v>-11369.660262466878</v>
      </c>
      <c r="AH17" s="626">
        <f t="shared" si="42"/>
        <v>-11476.535068934067</v>
      </c>
    </row>
    <row r="18" spans="2:34" s="55" customFormat="1" ht="12">
      <c r="B18" s="566" t="s">
        <v>422</v>
      </c>
      <c r="C18" s="567"/>
      <c r="D18" s="567"/>
      <c r="E18" s="567"/>
      <c r="F18" s="625">
        <f>F$13*-F51</f>
        <v>0</v>
      </c>
      <c r="G18" s="625">
        <f t="shared" ref="G18:P18" si="43">G$13*-G51</f>
        <v>0</v>
      </c>
      <c r="H18" s="625">
        <f t="shared" si="43"/>
        <v>0</v>
      </c>
      <c r="I18" s="625">
        <f t="shared" si="43"/>
        <v>0</v>
      </c>
      <c r="J18" s="625">
        <f t="shared" si="43"/>
        <v>0</v>
      </c>
      <c r="K18" s="625">
        <f t="shared" si="43"/>
        <v>0</v>
      </c>
      <c r="L18" s="625">
        <f t="shared" si="43"/>
        <v>0</v>
      </c>
      <c r="M18" s="625">
        <f t="shared" si="43"/>
        <v>0</v>
      </c>
      <c r="N18" s="625">
        <f t="shared" si="43"/>
        <v>0</v>
      </c>
      <c r="O18" s="625">
        <f t="shared" si="43"/>
        <v>0</v>
      </c>
      <c r="P18" s="626">
        <f t="shared" si="43"/>
        <v>0</v>
      </c>
      <c r="T18" s="566" t="str">
        <f>B18</f>
        <v>Selling and marketing - existing</v>
      </c>
      <c r="U18" s="567"/>
      <c r="V18" s="567"/>
      <c r="W18" s="567"/>
      <c r="X18" s="625">
        <f t="shared" ref="X18:Y18" si="44">X$13*-X51</f>
        <v>0</v>
      </c>
      <c r="Y18" s="625">
        <f t="shared" si="44"/>
        <v>0</v>
      </c>
      <c r="Z18" s="625">
        <f t="shared" ref="Z18:AH18" si="45">Z$13*-Z51</f>
        <v>0</v>
      </c>
      <c r="AA18" s="625">
        <f t="shared" si="45"/>
        <v>0</v>
      </c>
      <c r="AB18" s="625">
        <f t="shared" si="45"/>
        <v>0</v>
      </c>
      <c r="AC18" s="625">
        <f t="shared" si="45"/>
        <v>0</v>
      </c>
      <c r="AD18" s="625">
        <f t="shared" si="45"/>
        <v>0</v>
      </c>
      <c r="AE18" s="625">
        <f t="shared" si="45"/>
        <v>0</v>
      </c>
      <c r="AF18" s="625">
        <f t="shared" si="45"/>
        <v>0</v>
      </c>
      <c r="AG18" s="625">
        <f t="shared" si="45"/>
        <v>0</v>
      </c>
      <c r="AH18" s="626">
        <f t="shared" si="45"/>
        <v>0</v>
      </c>
    </row>
    <row r="19" spans="2:34" s="55" customFormat="1" ht="12">
      <c r="B19" s="566" t="s">
        <v>208</v>
      </c>
      <c r="C19" s="567"/>
      <c r="D19" s="567"/>
      <c r="E19" s="567"/>
      <c r="F19" s="625">
        <f>F$13*-F52</f>
        <v>-2439.6631726923074</v>
      </c>
      <c r="G19" s="625">
        <f t="shared" ref="G19:P19" si="46">G$13*-G52</f>
        <v>-3351.3344534122698</v>
      </c>
      <c r="H19" s="625">
        <f t="shared" si="46"/>
        <v>-3492.1763708534345</v>
      </c>
      <c r="I19" s="625">
        <f t="shared" si="46"/>
        <v>-3662.1116326599986</v>
      </c>
      <c r="J19" s="625">
        <f t="shared" si="46"/>
        <v>-3840.9848864467795</v>
      </c>
      <c r="K19" s="625">
        <f t="shared" si="46"/>
        <v>-3952.3734481537358</v>
      </c>
      <c r="L19" s="625">
        <f t="shared" si="46"/>
        <v>-3989.5257585663808</v>
      </c>
      <c r="M19" s="625">
        <f t="shared" si="46"/>
        <v>-4027.0273006969046</v>
      </c>
      <c r="N19" s="625">
        <f t="shared" si="46"/>
        <v>-4064.8813573234556</v>
      </c>
      <c r="O19" s="625">
        <f t="shared" si="46"/>
        <v>-4103.091242082296</v>
      </c>
      <c r="P19" s="626">
        <f t="shared" si="46"/>
        <v>-4141.6602997578702</v>
      </c>
      <c r="T19" s="566" t="str">
        <f>B19</f>
        <v>Research and development</v>
      </c>
      <c r="U19" s="567"/>
      <c r="V19" s="567"/>
      <c r="W19" s="567"/>
      <c r="X19" s="625">
        <f t="shared" ref="X19:Y19" si="47">X$13*-X52</f>
        <v>-4180.5919065755943</v>
      </c>
      <c r="Y19" s="625">
        <f t="shared" si="47"/>
        <v>-4219.8894704974055</v>
      </c>
      <c r="Z19" s="625">
        <f t="shared" ref="Z19:AH19" si="48">Z$13*-Z52</f>
        <v>-4259.5564315200818</v>
      </c>
      <c r="AA19" s="625">
        <f t="shared" si="48"/>
        <v>-4299.5962619763695</v>
      </c>
      <c r="AB19" s="625">
        <f t="shared" si="48"/>
        <v>-4340.0124668389481</v>
      </c>
      <c r="AC19" s="625">
        <f t="shared" si="48"/>
        <v>-4380.8085840272352</v>
      </c>
      <c r="AD19" s="625">
        <f t="shared" si="48"/>
        <v>-4421.98818471709</v>
      </c>
      <c r="AE19" s="625">
        <f t="shared" si="48"/>
        <v>-4463.5548736534311</v>
      </c>
      <c r="AF19" s="625">
        <f t="shared" si="48"/>
        <v>-4505.5122894657734</v>
      </c>
      <c r="AG19" s="625">
        <f t="shared" si="48"/>
        <v>-4547.864104986751</v>
      </c>
      <c r="AH19" s="626">
        <f t="shared" si="48"/>
        <v>-4590.614027573627</v>
      </c>
    </row>
    <row r="20" spans="2:34" s="55" customFormat="1" ht="12">
      <c r="B20" s="566" t="s">
        <v>423</v>
      </c>
      <c r="C20" s="567"/>
      <c r="D20" s="567"/>
      <c r="E20" s="567"/>
      <c r="F20" s="625">
        <f>F$13*-F53</f>
        <v>0</v>
      </c>
      <c r="G20" s="625">
        <f t="shared" ref="G20:P20" si="49">G$13*-G53</f>
        <v>0</v>
      </c>
      <c r="H20" s="625">
        <f t="shared" si="49"/>
        <v>0</v>
      </c>
      <c r="I20" s="625">
        <f t="shared" si="49"/>
        <v>0</v>
      </c>
      <c r="J20" s="625">
        <f t="shared" si="49"/>
        <v>0</v>
      </c>
      <c r="K20" s="625">
        <f t="shared" si="49"/>
        <v>0</v>
      </c>
      <c r="L20" s="625">
        <f t="shared" si="49"/>
        <v>0</v>
      </c>
      <c r="M20" s="625">
        <f t="shared" si="49"/>
        <v>0</v>
      </c>
      <c r="N20" s="625">
        <f t="shared" si="49"/>
        <v>0</v>
      </c>
      <c r="O20" s="625">
        <f t="shared" si="49"/>
        <v>0</v>
      </c>
      <c r="P20" s="626">
        <f t="shared" si="49"/>
        <v>0</v>
      </c>
      <c r="T20" s="566" t="str">
        <f>B20</f>
        <v>Operating costs related to synergy</v>
      </c>
      <c r="U20" s="567"/>
      <c r="V20" s="567"/>
      <c r="W20" s="567"/>
      <c r="X20" s="625">
        <f t="shared" ref="X20:Y20" si="50">X$13*-X53</f>
        <v>0</v>
      </c>
      <c r="Y20" s="625">
        <f t="shared" si="50"/>
        <v>0</v>
      </c>
      <c r="Z20" s="625">
        <f t="shared" ref="Z20:AH20" si="51">Z$13*-Z53</f>
        <v>0</v>
      </c>
      <c r="AA20" s="625">
        <f t="shared" si="51"/>
        <v>0</v>
      </c>
      <c r="AB20" s="625">
        <f t="shared" si="51"/>
        <v>0</v>
      </c>
      <c r="AC20" s="625">
        <f t="shared" si="51"/>
        <v>0</v>
      </c>
      <c r="AD20" s="625">
        <f t="shared" si="51"/>
        <v>0</v>
      </c>
      <c r="AE20" s="625">
        <f t="shared" si="51"/>
        <v>0</v>
      </c>
      <c r="AF20" s="625">
        <f t="shared" si="51"/>
        <v>0</v>
      </c>
      <c r="AG20" s="625">
        <f t="shared" si="51"/>
        <v>0</v>
      </c>
      <c r="AH20" s="626">
        <f t="shared" si="51"/>
        <v>0</v>
      </c>
    </row>
    <row r="21" spans="2:34" s="55" customFormat="1" ht="12">
      <c r="B21" s="805" t="s">
        <v>65</v>
      </c>
      <c r="C21" s="806"/>
      <c r="D21" s="806"/>
      <c r="E21" s="806"/>
      <c r="F21" s="807">
        <f>SUM(F16:F20)</f>
        <v>12930.214815269226</v>
      </c>
      <c r="G21" s="807">
        <f t="shared" ref="G21:P21" si="52">SUM(G16:G20)</f>
        <v>17762.072603085031</v>
      </c>
      <c r="H21" s="807">
        <f t="shared" si="52"/>
        <v>18508.534765523204</v>
      </c>
      <c r="I21" s="807">
        <f t="shared" si="52"/>
        <v>19409.191653097991</v>
      </c>
      <c r="J21" s="807">
        <f t="shared" si="52"/>
        <v>20357.219898167932</v>
      </c>
      <c r="K21" s="807">
        <f t="shared" si="52"/>
        <v>20947.579275214801</v>
      </c>
      <c r="L21" s="807">
        <f t="shared" si="52"/>
        <v>21144.486520401817</v>
      </c>
      <c r="M21" s="807">
        <f t="shared" si="52"/>
        <v>21343.244693693592</v>
      </c>
      <c r="N21" s="807">
        <f t="shared" si="52"/>
        <v>21543.871193814317</v>
      </c>
      <c r="O21" s="807">
        <f t="shared" si="52"/>
        <v>21746.383583036171</v>
      </c>
      <c r="P21" s="808">
        <f t="shared" si="52"/>
        <v>21950.799588716709</v>
      </c>
      <c r="Q21" s="809"/>
      <c r="R21" s="809"/>
      <c r="S21" s="809"/>
      <c r="T21" s="805" t="str">
        <f>B21</f>
        <v>EBITDA</v>
      </c>
      <c r="U21" s="806"/>
      <c r="V21" s="806"/>
      <c r="W21" s="806"/>
      <c r="X21" s="807">
        <f t="shared" ref="X21:Y21" si="53">SUM(X16:X20)</f>
        <v>22157.137104850655</v>
      </c>
      <c r="Y21" s="807">
        <f t="shared" si="53"/>
        <v>22365.414193636247</v>
      </c>
      <c r="Z21" s="807">
        <f t="shared" ref="Z21" si="54">SUM(Z16:Z20)</f>
        <v>22575.64908705643</v>
      </c>
      <c r="AA21" s="807">
        <f t="shared" ref="AA21" si="55">SUM(AA16:AA20)</f>
        <v>22787.860188474762</v>
      </c>
      <c r="AB21" s="807">
        <f t="shared" ref="AB21" si="56">SUM(AB16:AB20)</f>
        <v>23002.066074246424</v>
      </c>
      <c r="AC21" s="807">
        <f t="shared" ref="AC21" si="57">SUM(AC16:AC20)</f>
        <v>23218.285495344342</v>
      </c>
      <c r="AD21" s="807">
        <f t="shared" ref="AD21" si="58">SUM(AD16:AD20)</f>
        <v>23436.537379000576</v>
      </c>
      <c r="AE21" s="807">
        <f t="shared" ref="AE21" si="59">SUM(AE16:AE20)</f>
        <v>23656.84083036318</v>
      </c>
      <c r="AF21" s="807">
        <f t="shared" ref="AF21" si="60">SUM(AF16:AF20)</f>
        <v>23879.215134168597</v>
      </c>
      <c r="AG21" s="807">
        <f t="shared" ref="AG21" si="61">SUM(AG16:AG20)</f>
        <v>24103.679756429778</v>
      </c>
      <c r="AH21" s="808">
        <f t="shared" ref="AH21" si="62">SUM(AH16:AH20)</f>
        <v>24330.254346140217</v>
      </c>
    </row>
    <row r="22" spans="2:34" s="55" customFormat="1" ht="12">
      <c r="B22" s="566" t="s">
        <v>424</v>
      </c>
      <c r="C22" s="567"/>
      <c r="D22" s="567"/>
      <c r="E22" s="567"/>
      <c r="F22" s="625">
        <f>F$13*-F55</f>
        <v>-731.89895180769213</v>
      </c>
      <c r="G22" s="625">
        <f t="shared" ref="G22:P22" si="63">G$13*-G55</f>
        <v>-1005.4003360236809</v>
      </c>
      <c r="H22" s="625">
        <f t="shared" si="63"/>
        <v>-1047.6529112560304</v>
      </c>
      <c r="I22" s="625">
        <f t="shared" si="63"/>
        <v>-1098.6334897979996</v>
      </c>
      <c r="J22" s="625">
        <f t="shared" si="63"/>
        <v>-1152.2954659340337</v>
      </c>
      <c r="K22" s="625">
        <f t="shared" si="63"/>
        <v>-1185.7120344461207</v>
      </c>
      <c r="L22" s="625">
        <f t="shared" si="63"/>
        <v>-1196.8577275699142</v>
      </c>
      <c r="M22" s="625">
        <f t="shared" si="63"/>
        <v>-1208.1081902090714</v>
      </c>
      <c r="N22" s="625">
        <f t="shared" si="63"/>
        <v>-1219.4644071970365</v>
      </c>
      <c r="O22" s="625">
        <f t="shared" si="63"/>
        <v>-1230.9273726246888</v>
      </c>
      <c r="P22" s="626">
        <f t="shared" si="63"/>
        <v>-1242.498089927361</v>
      </c>
      <c r="T22" s="566" t="str">
        <f>B22</f>
        <v>Depreciation (tax)</v>
      </c>
      <c r="U22" s="567"/>
      <c r="V22" s="567"/>
      <c r="W22" s="567"/>
      <c r="X22" s="625">
        <f t="shared" ref="X22:AH22" si="64">X$13*-X55</f>
        <v>-1254.1775719726784</v>
      </c>
      <c r="Y22" s="625">
        <f t="shared" si="64"/>
        <v>-1265.9668411492216</v>
      </c>
      <c r="Z22" s="625">
        <f t="shared" si="64"/>
        <v>-1277.8669294560243</v>
      </c>
      <c r="AA22" s="625">
        <f t="shared" si="64"/>
        <v>-1289.878878592911</v>
      </c>
      <c r="AB22" s="625">
        <f t="shared" si="64"/>
        <v>-1302.0037400516844</v>
      </c>
      <c r="AC22" s="625">
        <f t="shared" si="64"/>
        <v>-1314.2425752081704</v>
      </c>
      <c r="AD22" s="625">
        <f t="shared" si="64"/>
        <v>-1326.5964554151269</v>
      </c>
      <c r="AE22" s="625">
        <f t="shared" si="64"/>
        <v>-1339.0664620960292</v>
      </c>
      <c r="AF22" s="625">
        <f t="shared" si="64"/>
        <v>-1351.653686839732</v>
      </c>
      <c r="AG22" s="625">
        <f t="shared" si="64"/>
        <v>-1364.3592314960254</v>
      </c>
      <c r="AH22" s="626">
        <f t="shared" si="64"/>
        <v>-1377.184208272088</v>
      </c>
    </row>
    <row r="23" spans="2:34" s="55" customFormat="1" ht="12">
      <c r="B23" s="805" t="s">
        <v>425</v>
      </c>
      <c r="C23" s="806"/>
      <c r="D23" s="806"/>
      <c r="E23" s="806"/>
      <c r="F23" s="807">
        <f>SUM(F21:F22)</f>
        <v>12198.315863461534</v>
      </c>
      <c r="G23" s="807">
        <f t="shared" ref="G23:P23" si="65">SUM(G21:G22)</f>
        <v>16756.672267061349</v>
      </c>
      <c r="H23" s="807">
        <f t="shared" si="65"/>
        <v>17460.881854267172</v>
      </c>
      <c r="I23" s="807">
        <f t="shared" si="65"/>
        <v>18310.558163299989</v>
      </c>
      <c r="J23" s="807">
        <f t="shared" si="65"/>
        <v>19204.9244322339</v>
      </c>
      <c r="K23" s="807">
        <f t="shared" si="65"/>
        <v>19761.867240768679</v>
      </c>
      <c r="L23" s="807">
        <f t="shared" si="65"/>
        <v>19947.628792831903</v>
      </c>
      <c r="M23" s="807">
        <f t="shared" si="65"/>
        <v>20135.136503484522</v>
      </c>
      <c r="N23" s="807">
        <f t="shared" si="65"/>
        <v>20324.406786617281</v>
      </c>
      <c r="O23" s="807">
        <f t="shared" si="65"/>
        <v>20515.456210411481</v>
      </c>
      <c r="P23" s="808">
        <f t="shared" si="65"/>
        <v>20708.301498789348</v>
      </c>
      <c r="Q23" s="809"/>
      <c r="R23" s="809"/>
      <c r="S23" s="809"/>
      <c r="T23" s="805" t="str">
        <f>B23</f>
        <v>EBITA</v>
      </c>
      <c r="U23" s="806"/>
      <c r="V23" s="806"/>
      <c r="W23" s="806"/>
      <c r="X23" s="807">
        <f t="shared" ref="X23:Y23" si="66">SUM(X21:X22)</f>
        <v>20902.959532877976</v>
      </c>
      <c r="Y23" s="807">
        <f t="shared" si="66"/>
        <v>21099.447352487026</v>
      </c>
      <c r="Z23" s="807">
        <f t="shared" ref="Z23" si="67">SUM(Z21:Z22)</f>
        <v>21297.782157600406</v>
      </c>
      <c r="AA23" s="807">
        <f t="shared" ref="AA23" si="68">SUM(AA21:AA22)</f>
        <v>21497.981309881852</v>
      </c>
      <c r="AB23" s="807">
        <f t="shared" ref="AB23" si="69">SUM(AB21:AB22)</f>
        <v>21700.062334194739</v>
      </c>
      <c r="AC23" s="807">
        <f t="shared" ref="AC23" si="70">SUM(AC21:AC22)</f>
        <v>21904.042920136173</v>
      </c>
      <c r="AD23" s="807">
        <f t="shared" ref="AD23" si="71">SUM(AD21:AD22)</f>
        <v>22109.940923585447</v>
      </c>
      <c r="AE23" s="807">
        <f t="shared" ref="AE23" si="72">SUM(AE21:AE22)</f>
        <v>22317.77436826715</v>
      </c>
      <c r="AF23" s="807">
        <f t="shared" ref="AF23" si="73">SUM(AF21:AF22)</f>
        <v>22527.561447328866</v>
      </c>
      <c r="AG23" s="807">
        <f t="shared" ref="AG23" si="74">SUM(AG21:AG22)</f>
        <v>22739.320524933752</v>
      </c>
      <c r="AH23" s="808">
        <f t="shared" ref="AH23" si="75">SUM(AH21:AH22)</f>
        <v>22953.07013786813</v>
      </c>
    </row>
    <row r="24" spans="2:34" s="55" customFormat="1" ht="12">
      <c r="B24" s="566" t="s">
        <v>377</v>
      </c>
      <c r="C24" s="567"/>
      <c r="D24" s="567"/>
      <c r="E24" s="799">
        <f>'Trade Name and Trademarks'!F10</f>
        <v>3.5000000000000003E-2</v>
      </c>
      <c r="F24" s="625">
        <f>F13*-$E$24</f>
        <v>-853.88211044230752</v>
      </c>
      <c r="G24" s="625">
        <f t="shared" ref="G24:P24" si="76">G13*-$E$24</f>
        <v>-1172.9670586942946</v>
      </c>
      <c r="H24" s="625">
        <f t="shared" si="76"/>
        <v>-1222.2617297987022</v>
      </c>
      <c r="I24" s="625">
        <f t="shared" si="76"/>
        <v>-1281.7390714309997</v>
      </c>
      <c r="J24" s="625">
        <f t="shared" si="76"/>
        <v>-1344.3447102563728</v>
      </c>
      <c r="K24" s="625">
        <f t="shared" si="76"/>
        <v>-1383.3307068538077</v>
      </c>
      <c r="L24" s="625">
        <f t="shared" si="76"/>
        <v>-1396.3340154982334</v>
      </c>
      <c r="M24" s="625">
        <f t="shared" si="76"/>
        <v>-1409.4595552439166</v>
      </c>
      <c r="N24" s="625">
        <f t="shared" si="76"/>
        <v>-1422.7084750632096</v>
      </c>
      <c r="O24" s="625">
        <f t="shared" si="76"/>
        <v>-1436.0819347288038</v>
      </c>
      <c r="P24" s="626">
        <f t="shared" si="76"/>
        <v>-1449.5811049152546</v>
      </c>
      <c r="T24" s="566" t="str">
        <f>B24</f>
        <v>Trademark royalty</v>
      </c>
      <c r="U24" s="567"/>
      <c r="V24" s="567"/>
      <c r="W24" s="799">
        <f>E24</f>
        <v>3.5000000000000003E-2</v>
      </c>
      <c r="X24" s="625">
        <f t="shared" ref="X24:Y24" si="77">X13*-$E$24</f>
        <v>-1463.2071673014582</v>
      </c>
      <c r="Y24" s="625">
        <f t="shared" si="77"/>
        <v>-1476.9613146740919</v>
      </c>
      <c r="Z24" s="625">
        <f t="shared" ref="Z24:AH24" si="78">Z13*-$E$24</f>
        <v>-1490.8447510320286</v>
      </c>
      <c r="AA24" s="625">
        <f t="shared" si="78"/>
        <v>-1504.8586916917295</v>
      </c>
      <c r="AB24" s="625">
        <f t="shared" si="78"/>
        <v>-1519.0043633936318</v>
      </c>
      <c r="AC24" s="625">
        <f t="shared" si="78"/>
        <v>-1533.2830044095322</v>
      </c>
      <c r="AD24" s="625">
        <f t="shared" si="78"/>
        <v>-1547.6958646509818</v>
      </c>
      <c r="AE24" s="625">
        <f t="shared" si="78"/>
        <v>-1562.2442057787009</v>
      </c>
      <c r="AF24" s="625">
        <f t="shared" si="78"/>
        <v>-1576.9293013130207</v>
      </c>
      <c r="AG24" s="625">
        <f t="shared" si="78"/>
        <v>-1591.752436745363</v>
      </c>
      <c r="AH24" s="626">
        <f t="shared" si="78"/>
        <v>-1606.7149096507694</v>
      </c>
    </row>
    <row r="25" spans="2:34" s="55" customFormat="1" ht="12">
      <c r="B25" s="566" t="s">
        <v>426</v>
      </c>
      <c r="C25" s="567"/>
      <c r="D25" s="567"/>
      <c r="E25" s="815">
        <v>0</v>
      </c>
      <c r="F25" s="625">
        <f>F14*-$E$25</f>
        <v>0</v>
      </c>
      <c r="G25" s="625">
        <f t="shared" ref="G25:P25" si="79">G14*-$E$25</f>
        <v>0</v>
      </c>
      <c r="H25" s="625">
        <f t="shared" si="79"/>
        <v>0</v>
      </c>
      <c r="I25" s="625">
        <f t="shared" si="79"/>
        <v>0</v>
      </c>
      <c r="J25" s="625">
        <f t="shared" si="79"/>
        <v>0</v>
      </c>
      <c r="K25" s="625">
        <f t="shared" si="79"/>
        <v>0</v>
      </c>
      <c r="L25" s="625">
        <f t="shared" si="79"/>
        <v>0</v>
      </c>
      <c r="M25" s="625">
        <f t="shared" si="79"/>
        <v>0</v>
      </c>
      <c r="N25" s="625">
        <f t="shared" si="79"/>
        <v>0</v>
      </c>
      <c r="O25" s="625">
        <f t="shared" si="79"/>
        <v>0</v>
      </c>
      <c r="P25" s="626">
        <f t="shared" si="79"/>
        <v>0</v>
      </c>
      <c r="T25" s="566" t="str">
        <f>B25</f>
        <v>Technology royalty</v>
      </c>
      <c r="U25" s="567"/>
      <c r="V25" s="567"/>
      <c r="W25" s="799">
        <f>E25</f>
        <v>0</v>
      </c>
      <c r="X25" s="625">
        <f t="shared" ref="X25:Y25" si="80">X14*-$E$25</f>
        <v>0</v>
      </c>
      <c r="Y25" s="625">
        <f t="shared" si="80"/>
        <v>0</v>
      </c>
      <c r="Z25" s="625">
        <f t="shared" ref="Z25:AH25" si="81">Z14*-$E$25</f>
        <v>0</v>
      </c>
      <c r="AA25" s="625">
        <f t="shared" si="81"/>
        <v>0</v>
      </c>
      <c r="AB25" s="625">
        <f t="shared" si="81"/>
        <v>0</v>
      </c>
      <c r="AC25" s="625">
        <f t="shared" si="81"/>
        <v>0</v>
      </c>
      <c r="AD25" s="625">
        <f t="shared" si="81"/>
        <v>0</v>
      </c>
      <c r="AE25" s="625">
        <f t="shared" si="81"/>
        <v>0</v>
      </c>
      <c r="AF25" s="625">
        <f t="shared" si="81"/>
        <v>0</v>
      </c>
      <c r="AG25" s="625">
        <f t="shared" si="81"/>
        <v>0</v>
      </c>
      <c r="AH25" s="626">
        <f t="shared" si="81"/>
        <v>0</v>
      </c>
    </row>
    <row r="26" spans="2:34" s="55" customFormat="1" ht="12">
      <c r="B26" s="805" t="s">
        <v>427</v>
      </c>
      <c r="C26" s="806"/>
      <c r="D26" s="806"/>
      <c r="E26" s="806"/>
      <c r="F26" s="807">
        <f>SUM(F23:F25)</f>
        <v>11344.433753019226</v>
      </c>
      <c r="G26" s="807">
        <f t="shared" ref="G26:P26" si="82">SUM(G23:G25)</f>
        <v>15583.705208367055</v>
      </c>
      <c r="H26" s="807">
        <f t="shared" si="82"/>
        <v>16238.620124468471</v>
      </c>
      <c r="I26" s="807">
        <f t="shared" si="82"/>
        <v>17028.819091868991</v>
      </c>
      <c r="J26" s="807">
        <f t="shared" si="82"/>
        <v>17860.579721977527</v>
      </c>
      <c r="K26" s="807">
        <f t="shared" si="82"/>
        <v>18378.53653391487</v>
      </c>
      <c r="L26" s="807">
        <f t="shared" si="82"/>
        <v>18551.294777333671</v>
      </c>
      <c r="M26" s="807">
        <f t="shared" si="82"/>
        <v>18725.676948240605</v>
      </c>
      <c r="N26" s="807">
        <f t="shared" si="82"/>
        <v>18901.698311554072</v>
      </c>
      <c r="O26" s="807">
        <f t="shared" si="82"/>
        <v>19079.374275682676</v>
      </c>
      <c r="P26" s="808">
        <f t="shared" si="82"/>
        <v>19258.720393874093</v>
      </c>
      <c r="Q26" s="809"/>
      <c r="R26" s="809"/>
      <c r="S26" s="809"/>
      <c r="T26" s="805" t="str">
        <f>B26</f>
        <v>Pretax income (loss)</v>
      </c>
      <c r="U26" s="806"/>
      <c r="V26" s="806"/>
      <c r="W26" s="806"/>
      <c r="X26" s="807">
        <f t="shared" ref="X26:Y26" si="83">SUM(X23:X25)</f>
        <v>19439.752365576518</v>
      </c>
      <c r="Y26" s="807">
        <f t="shared" si="83"/>
        <v>19622.486037812934</v>
      </c>
      <c r="Z26" s="807">
        <f t="shared" ref="Z26" si="84">SUM(Z23:Z25)</f>
        <v>19806.937406568377</v>
      </c>
      <c r="AA26" s="807">
        <f t="shared" ref="AA26" si="85">SUM(AA23:AA25)</f>
        <v>19993.122618190122</v>
      </c>
      <c r="AB26" s="807">
        <f t="shared" ref="AB26" si="86">SUM(AB23:AB25)</f>
        <v>20181.057970801106</v>
      </c>
      <c r="AC26" s="807">
        <f t="shared" ref="AC26" si="87">SUM(AC23:AC25)</f>
        <v>20370.759915726641</v>
      </c>
      <c r="AD26" s="807">
        <f t="shared" ref="AD26" si="88">SUM(AD23:AD25)</f>
        <v>20562.245058934466</v>
      </c>
      <c r="AE26" s="807">
        <f t="shared" ref="AE26" si="89">SUM(AE23:AE25)</f>
        <v>20755.530162488449</v>
      </c>
      <c r="AF26" s="807">
        <f t="shared" ref="AF26" si="90">SUM(AF23:AF25)</f>
        <v>20950.632146015847</v>
      </c>
      <c r="AG26" s="807">
        <f t="shared" ref="AG26" si="91">SUM(AG23:AG25)</f>
        <v>21147.568088188389</v>
      </c>
      <c r="AH26" s="808">
        <f t="shared" ref="AH26" si="92">SUM(AH23:AH25)</f>
        <v>21346.355228217359</v>
      </c>
    </row>
    <row r="27" spans="2:34" s="55" customFormat="1" ht="12">
      <c r="B27" s="566" t="s">
        <v>428</v>
      </c>
      <c r="C27" s="567"/>
      <c r="D27" s="567"/>
      <c r="E27" s="799">
        <f>IRR!F18</f>
        <v>0.26140000000000002</v>
      </c>
      <c r="F27" s="625">
        <f>F26*-$E27</f>
        <v>-2965.4349830392262</v>
      </c>
      <c r="G27" s="625">
        <f t="shared" ref="G27:P27" si="93">G26*-$E27</f>
        <v>-4073.5805414671486</v>
      </c>
      <c r="H27" s="625">
        <f t="shared" si="93"/>
        <v>-4244.7753005360582</v>
      </c>
      <c r="I27" s="625">
        <f t="shared" si="93"/>
        <v>-4451.3333106145546</v>
      </c>
      <c r="J27" s="625">
        <f t="shared" si="93"/>
        <v>-4668.7555393249258</v>
      </c>
      <c r="K27" s="625">
        <f t="shared" si="93"/>
        <v>-4804.1494499653472</v>
      </c>
      <c r="L27" s="625">
        <f t="shared" si="93"/>
        <v>-4849.308454795022</v>
      </c>
      <c r="M27" s="625">
        <f t="shared" si="93"/>
        <v>-4894.8919542700942</v>
      </c>
      <c r="N27" s="625">
        <f t="shared" si="93"/>
        <v>-4940.9039386402346</v>
      </c>
      <c r="O27" s="625">
        <f t="shared" si="93"/>
        <v>-4987.3484356634517</v>
      </c>
      <c r="P27" s="626">
        <f t="shared" si="93"/>
        <v>-5034.2295109586885</v>
      </c>
      <c r="T27" s="566" t="str">
        <f>B27</f>
        <v>Income tax expense</v>
      </c>
      <c r="U27" s="567"/>
      <c r="V27" s="567"/>
      <c r="W27" s="799">
        <f>E27</f>
        <v>0.26140000000000002</v>
      </c>
      <c r="X27" s="625">
        <f t="shared" ref="X27:Y27" si="94">X26*-$E27</f>
        <v>-5081.5512683617026</v>
      </c>
      <c r="Y27" s="625">
        <f t="shared" si="94"/>
        <v>-5129.3178502843011</v>
      </c>
      <c r="Z27" s="625">
        <f t="shared" ref="Z27" si="95">Z26*-$E27</f>
        <v>-5177.5334380769746</v>
      </c>
      <c r="AA27" s="625">
        <f t="shared" ref="AA27" si="96">AA26*-$E27</f>
        <v>-5226.2022523948981</v>
      </c>
      <c r="AB27" s="625">
        <f t="shared" ref="AB27" si="97">AB26*-$E27</f>
        <v>-5275.3285535674095</v>
      </c>
      <c r="AC27" s="625">
        <f t="shared" ref="AC27" si="98">AC26*-$E27</f>
        <v>-5324.9166419709445</v>
      </c>
      <c r="AD27" s="625">
        <f t="shared" ref="AD27" si="99">AD26*-$E27</f>
        <v>-5374.9708584054697</v>
      </c>
      <c r="AE27" s="625">
        <f t="shared" ref="AE27" si="100">AE26*-$E27</f>
        <v>-5425.4955844744809</v>
      </c>
      <c r="AF27" s="625">
        <f t="shared" ref="AF27" si="101">AF26*-$E27</f>
        <v>-5476.4952429685427</v>
      </c>
      <c r="AG27" s="625">
        <f t="shared" ref="AG27" si="102">AG26*-$E27</f>
        <v>-5527.9742982524458</v>
      </c>
      <c r="AH27" s="626">
        <f t="shared" ref="AH27" si="103">AH26*-$E27</f>
        <v>-5579.9372566560178</v>
      </c>
    </row>
    <row r="28" spans="2:34" s="55" customFormat="1" ht="12">
      <c r="B28" s="805" t="s">
        <v>429</v>
      </c>
      <c r="C28" s="806"/>
      <c r="D28" s="806"/>
      <c r="E28" s="806"/>
      <c r="F28" s="807">
        <f>SUM(F26:F27)</f>
        <v>8378.9987699800004</v>
      </c>
      <c r="G28" s="807">
        <f t="shared" ref="G28:P28" si="104">SUM(G26:G27)</f>
        <v>11510.124666899907</v>
      </c>
      <c r="H28" s="807">
        <f t="shared" si="104"/>
        <v>11993.844823932413</v>
      </c>
      <c r="I28" s="807">
        <f t="shared" si="104"/>
        <v>12577.485781254436</v>
      </c>
      <c r="J28" s="807">
        <f t="shared" si="104"/>
        <v>13191.824182652601</v>
      </c>
      <c r="K28" s="807">
        <f t="shared" si="104"/>
        <v>13574.387083949523</v>
      </c>
      <c r="L28" s="807">
        <f t="shared" si="104"/>
        <v>13701.986322538649</v>
      </c>
      <c r="M28" s="807">
        <f t="shared" si="104"/>
        <v>13830.784993970512</v>
      </c>
      <c r="N28" s="807">
        <f t="shared" si="104"/>
        <v>13960.794372913837</v>
      </c>
      <c r="O28" s="807">
        <f t="shared" si="104"/>
        <v>14092.025840019225</v>
      </c>
      <c r="P28" s="808">
        <f t="shared" si="104"/>
        <v>14224.490882915405</v>
      </c>
      <c r="Q28" s="809"/>
      <c r="R28" s="809"/>
      <c r="S28" s="809"/>
      <c r="T28" s="805" t="str">
        <f>B28</f>
        <v>Net income (loss)</v>
      </c>
      <c r="U28" s="806"/>
      <c r="V28" s="806"/>
      <c r="W28" s="806"/>
      <c r="X28" s="807">
        <f t="shared" ref="X28:Y28" si="105">SUM(X26:X27)</f>
        <v>14358.201097214816</v>
      </c>
      <c r="Y28" s="807">
        <f t="shared" si="105"/>
        <v>14493.168187528634</v>
      </c>
      <c r="Z28" s="807">
        <f t="shared" ref="Z28" si="106">SUM(Z26:Z27)</f>
        <v>14629.403968491402</v>
      </c>
      <c r="AA28" s="807">
        <f t="shared" ref="AA28" si="107">SUM(AA26:AA27)</f>
        <v>14766.920365795224</v>
      </c>
      <c r="AB28" s="807">
        <f t="shared" ref="AB28" si="108">SUM(AB26:AB27)</f>
        <v>14905.729417233697</v>
      </c>
      <c r="AC28" s="807">
        <f t="shared" ref="AC28" si="109">SUM(AC26:AC27)</f>
        <v>15045.843273755698</v>
      </c>
      <c r="AD28" s="807">
        <f t="shared" ref="AD28" si="110">SUM(AD26:AD27)</f>
        <v>15187.274200528997</v>
      </c>
      <c r="AE28" s="807">
        <f t="shared" ref="AE28" si="111">SUM(AE26:AE27)</f>
        <v>15330.034578013969</v>
      </c>
      <c r="AF28" s="807">
        <f t="shared" ref="AF28" si="112">SUM(AF26:AF27)</f>
        <v>15474.136903047303</v>
      </c>
      <c r="AG28" s="807">
        <f t="shared" ref="AG28" si="113">SUM(AG26:AG27)</f>
        <v>15619.593789935943</v>
      </c>
      <c r="AH28" s="808">
        <f t="shared" ref="AH28" si="114">SUM(AH26:AH27)</f>
        <v>15766.417971561341</v>
      </c>
    </row>
    <row r="29" spans="2:34" s="55" customFormat="1" ht="12">
      <c r="B29" s="566" t="s">
        <v>430</v>
      </c>
      <c r="C29" s="567"/>
      <c r="D29" s="567"/>
      <c r="E29" s="567"/>
      <c r="F29" s="625">
        <f>-F22</f>
        <v>731.89895180769213</v>
      </c>
      <c r="G29" s="625">
        <f t="shared" ref="G29:P29" si="115">-G22</f>
        <v>1005.4003360236809</v>
      </c>
      <c r="H29" s="625">
        <f t="shared" si="115"/>
        <v>1047.6529112560304</v>
      </c>
      <c r="I29" s="625">
        <f t="shared" si="115"/>
        <v>1098.6334897979996</v>
      </c>
      <c r="J29" s="625">
        <f t="shared" si="115"/>
        <v>1152.2954659340337</v>
      </c>
      <c r="K29" s="625">
        <f t="shared" si="115"/>
        <v>1185.7120344461207</v>
      </c>
      <c r="L29" s="625">
        <f t="shared" si="115"/>
        <v>1196.8577275699142</v>
      </c>
      <c r="M29" s="625">
        <f t="shared" si="115"/>
        <v>1208.1081902090714</v>
      </c>
      <c r="N29" s="625">
        <f t="shared" si="115"/>
        <v>1219.4644071970365</v>
      </c>
      <c r="O29" s="625">
        <f t="shared" si="115"/>
        <v>1230.9273726246888</v>
      </c>
      <c r="P29" s="626">
        <f t="shared" si="115"/>
        <v>1242.498089927361</v>
      </c>
      <c r="T29" s="566" t="str">
        <f>B29</f>
        <v>Add: Depreciation (tax)</v>
      </c>
      <c r="U29" s="567"/>
      <c r="V29" s="567"/>
      <c r="W29" s="567"/>
      <c r="X29" s="625">
        <f t="shared" ref="X29:Y29" si="116">-X22</f>
        <v>1254.1775719726784</v>
      </c>
      <c r="Y29" s="625">
        <f t="shared" si="116"/>
        <v>1265.9668411492216</v>
      </c>
      <c r="Z29" s="625">
        <f t="shared" ref="Z29:AH29" si="117">-Z22</f>
        <v>1277.8669294560243</v>
      </c>
      <c r="AA29" s="625">
        <f t="shared" si="117"/>
        <v>1289.878878592911</v>
      </c>
      <c r="AB29" s="625">
        <f t="shared" si="117"/>
        <v>1302.0037400516844</v>
      </c>
      <c r="AC29" s="625">
        <f t="shared" si="117"/>
        <v>1314.2425752081704</v>
      </c>
      <c r="AD29" s="625">
        <f t="shared" si="117"/>
        <v>1326.5964554151269</v>
      </c>
      <c r="AE29" s="625">
        <f t="shared" si="117"/>
        <v>1339.0664620960292</v>
      </c>
      <c r="AF29" s="625">
        <f t="shared" si="117"/>
        <v>1351.653686839732</v>
      </c>
      <c r="AG29" s="625">
        <f t="shared" si="117"/>
        <v>1364.3592314960254</v>
      </c>
      <c r="AH29" s="626">
        <f t="shared" si="117"/>
        <v>1377.184208272088</v>
      </c>
    </row>
    <row r="30" spans="2:34" s="55" customFormat="1" ht="12">
      <c r="B30" s="566" t="s">
        <v>431</v>
      </c>
      <c r="C30" s="567"/>
      <c r="D30" s="567"/>
      <c r="E30" s="567"/>
      <c r="F30" s="816">
        <v>0</v>
      </c>
      <c r="G30" s="816">
        <v>0</v>
      </c>
      <c r="H30" s="816">
        <v>0</v>
      </c>
      <c r="I30" s="816">
        <v>0</v>
      </c>
      <c r="J30" s="816">
        <v>0</v>
      </c>
      <c r="K30" s="816">
        <v>0</v>
      </c>
      <c r="L30" s="816">
        <v>0</v>
      </c>
      <c r="M30" s="816">
        <v>0</v>
      </c>
      <c r="N30" s="816">
        <v>0</v>
      </c>
      <c r="O30" s="816">
        <v>0</v>
      </c>
      <c r="P30" s="817">
        <v>0</v>
      </c>
      <c r="T30" s="566" t="str">
        <f>B30</f>
        <v>Less: Return of fixed assets</v>
      </c>
      <c r="U30" s="567"/>
      <c r="V30" s="567"/>
      <c r="W30" s="567"/>
      <c r="X30" s="816">
        <v>0</v>
      </c>
      <c r="Y30" s="816">
        <v>0</v>
      </c>
      <c r="Z30" s="816">
        <v>0</v>
      </c>
      <c r="AA30" s="816">
        <v>0</v>
      </c>
      <c r="AB30" s="816">
        <v>0</v>
      </c>
      <c r="AC30" s="816">
        <v>0</v>
      </c>
      <c r="AD30" s="816">
        <v>0</v>
      </c>
      <c r="AE30" s="816">
        <v>0</v>
      </c>
      <c r="AF30" s="816">
        <v>0</v>
      </c>
      <c r="AG30" s="816">
        <v>0</v>
      </c>
      <c r="AH30" s="817">
        <v>0</v>
      </c>
    </row>
    <row r="31" spans="2:34" s="55" customFormat="1" ht="12">
      <c r="B31" s="566" t="s">
        <v>432</v>
      </c>
      <c r="C31" s="567"/>
      <c r="D31" s="567"/>
      <c r="E31" s="567"/>
      <c r="F31" s="625">
        <f>F13*-F57</f>
        <v>-1653.9470688418273</v>
      </c>
      <c r="G31" s="625">
        <f t="shared" ref="G31:P31" si="118">G13*-G57</f>
        <v>-2272.0061760873787</v>
      </c>
      <c r="H31" s="625">
        <f t="shared" si="118"/>
        <v>-2367.4886505245399</v>
      </c>
      <c r="I31" s="625">
        <f t="shared" si="118"/>
        <v>-2482.6946885152947</v>
      </c>
      <c r="J31" s="625">
        <f t="shared" si="118"/>
        <v>-2603.9601554479132</v>
      </c>
      <c r="K31" s="625">
        <f t="shared" si="118"/>
        <v>-2679.4749999559026</v>
      </c>
      <c r="L31" s="625">
        <f t="shared" si="118"/>
        <v>-2704.6620649554879</v>
      </c>
      <c r="M31" s="625">
        <f t="shared" si="118"/>
        <v>-2730.0858883660694</v>
      </c>
      <c r="N31" s="625">
        <f t="shared" si="118"/>
        <v>-2755.7486957167107</v>
      </c>
      <c r="O31" s="625">
        <f t="shared" si="118"/>
        <v>-2781.652733456448</v>
      </c>
      <c r="P31" s="626">
        <f t="shared" si="118"/>
        <v>-2807.8002691509387</v>
      </c>
      <c r="T31" s="566" t="str">
        <f>B31</f>
        <v>Less: Contributory assets' charge</v>
      </c>
      <c r="U31" s="567"/>
      <c r="V31" s="567"/>
      <c r="W31" s="567"/>
      <c r="X31" s="625">
        <f t="shared" ref="X31:Y31" si="119">X13*-X57</f>
        <v>-2834.193591680958</v>
      </c>
      <c r="Y31" s="625">
        <f t="shared" si="119"/>
        <v>-2860.835011442759</v>
      </c>
      <c r="Z31" s="625">
        <f t="shared" ref="Z31:AH31" si="120">Z13*-Z57</f>
        <v>-2887.7268605503214</v>
      </c>
      <c r="AA31" s="625">
        <f t="shared" si="120"/>
        <v>-2914.871493039494</v>
      </c>
      <c r="AB31" s="625">
        <f t="shared" si="120"/>
        <v>-2942.2712850740654</v>
      </c>
      <c r="AC31" s="625">
        <f t="shared" si="120"/>
        <v>-2969.9286351537621</v>
      </c>
      <c r="AD31" s="625">
        <f t="shared" si="120"/>
        <v>-2997.8459643242072</v>
      </c>
      <c r="AE31" s="625">
        <f t="shared" si="120"/>
        <v>-3026.0257163888546</v>
      </c>
      <c r="AF31" s="625">
        <f t="shared" si="120"/>
        <v>-3054.4703581229101</v>
      </c>
      <c r="AG31" s="625">
        <f t="shared" si="120"/>
        <v>-3083.1823794892653</v>
      </c>
      <c r="AH31" s="626">
        <f t="shared" si="120"/>
        <v>-3112.1642938564642</v>
      </c>
    </row>
    <row r="32" spans="2:34" s="55" customFormat="1" ht="12">
      <c r="B32" s="805" t="s">
        <v>433</v>
      </c>
      <c r="C32" s="806"/>
      <c r="D32" s="806"/>
      <c r="E32" s="806"/>
      <c r="F32" s="807">
        <f>SUM(F28:F31)</f>
        <v>7456.9506529458649</v>
      </c>
      <c r="G32" s="807">
        <f t="shared" ref="G32:P32" si="121">SUM(G28:G31)</f>
        <v>10243.518826836207</v>
      </c>
      <c r="H32" s="807">
        <f t="shared" si="121"/>
        <v>10674.009084663905</v>
      </c>
      <c r="I32" s="807">
        <f t="shared" si="121"/>
        <v>11193.42458253714</v>
      </c>
      <c r="J32" s="807">
        <f t="shared" si="121"/>
        <v>11740.159493138723</v>
      </c>
      <c r="K32" s="807">
        <f t="shared" si="121"/>
        <v>12080.62411843974</v>
      </c>
      <c r="L32" s="807">
        <f t="shared" si="121"/>
        <v>12194.181985153074</v>
      </c>
      <c r="M32" s="807">
        <f t="shared" si="121"/>
        <v>12308.807295813514</v>
      </c>
      <c r="N32" s="807">
        <f t="shared" si="121"/>
        <v>12424.510084394162</v>
      </c>
      <c r="O32" s="807">
        <f t="shared" si="121"/>
        <v>12541.300479187466</v>
      </c>
      <c r="P32" s="808">
        <f t="shared" si="121"/>
        <v>12659.188703691827</v>
      </c>
      <c r="Q32" s="809"/>
      <c r="R32" s="809"/>
      <c r="S32" s="809"/>
      <c r="T32" s="805" t="str">
        <f>B32</f>
        <v>After-tax cash flow</v>
      </c>
      <c r="U32" s="806"/>
      <c r="V32" s="806"/>
      <c r="W32" s="806"/>
      <c r="X32" s="807">
        <f t="shared" ref="X32:Y32" si="122">SUM(X28:X31)</f>
        <v>12778.185077506538</v>
      </c>
      <c r="Y32" s="807">
        <f t="shared" si="122"/>
        <v>12898.300017235097</v>
      </c>
      <c r="Z32" s="807">
        <f t="shared" ref="Z32" si="123">SUM(Z28:Z31)</f>
        <v>13019.544037397105</v>
      </c>
      <c r="AA32" s="807">
        <f t="shared" ref="AA32" si="124">SUM(AA28:AA31)</f>
        <v>13141.92775134864</v>
      </c>
      <c r="AB32" s="807">
        <f t="shared" ref="AB32" si="125">SUM(AB28:AB31)</f>
        <v>13265.461872211315</v>
      </c>
      <c r="AC32" s="807">
        <f t="shared" ref="AC32" si="126">SUM(AC28:AC31)</f>
        <v>13390.157213810107</v>
      </c>
      <c r="AD32" s="807">
        <f t="shared" ref="AD32" si="127">SUM(AD28:AD31)</f>
        <v>13516.024691619916</v>
      </c>
      <c r="AE32" s="807">
        <f t="shared" ref="AE32" si="128">SUM(AE28:AE31)</f>
        <v>13643.075323721145</v>
      </c>
      <c r="AF32" s="807">
        <f t="shared" ref="AF32" si="129">SUM(AF28:AF31)</f>
        <v>13771.320231764124</v>
      </c>
      <c r="AG32" s="807">
        <f t="shared" ref="AG32" si="130">SUM(AG28:AG31)</f>
        <v>13900.770641942701</v>
      </c>
      <c r="AH32" s="808">
        <f t="shared" ref="AH32" si="131">SUM(AH28:AH31)</f>
        <v>14031.437885976966</v>
      </c>
    </row>
    <row r="33" spans="2:34" s="55" customFormat="1" ht="12">
      <c r="B33" s="566" t="s">
        <v>442</v>
      </c>
      <c r="C33" s="567"/>
      <c r="D33" s="567"/>
      <c r="E33" s="567"/>
      <c r="F33" s="800">
        <f>IRR!G28</f>
        <v>0.37568306010928959</v>
      </c>
      <c r="G33" s="800">
        <f>IRR!H28</f>
        <v>1.2513661202185791</v>
      </c>
      <c r="H33" s="800">
        <f>IRR!I28</f>
        <v>2.2513661202185791</v>
      </c>
      <c r="I33" s="800">
        <f>IRR!J28</f>
        <v>3.2513661202185791</v>
      </c>
      <c r="J33" s="800">
        <f>IRR!K28</f>
        <v>4.2513661202185791</v>
      </c>
      <c r="K33" s="800">
        <f>IRR!L28</f>
        <v>5.2513661202185791</v>
      </c>
      <c r="L33" s="800">
        <f>IRR!M28</f>
        <v>6.2513661202185791</v>
      </c>
      <c r="M33" s="800">
        <f>L33+(YEARFRAC(M8,L8,1))</f>
        <v>7.2513661202185791</v>
      </c>
      <c r="N33" s="800">
        <f t="shared" ref="N33:P33" si="132">M33+(YEARFRAC(N8,M8,1))</f>
        <v>8.2513661202185791</v>
      </c>
      <c r="O33" s="800">
        <f t="shared" si="132"/>
        <v>9.2513661202185791</v>
      </c>
      <c r="P33" s="801">
        <f t="shared" si="132"/>
        <v>10.251366120218579</v>
      </c>
      <c r="T33" s="566" t="str">
        <f>B33</f>
        <v>Present value periods</v>
      </c>
      <c r="U33" s="567"/>
      <c r="V33" s="567"/>
      <c r="W33" s="567"/>
      <c r="X33" s="800">
        <f>P33+(YEARFRAC(X8,P8,1))</f>
        <v>11.251366120218579</v>
      </c>
      <c r="Y33" s="800">
        <f t="shared" ref="Y33:AH33" si="133">X33+(YEARFRAC(Y8,X8,1))</f>
        <v>12.251366120218579</v>
      </c>
      <c r="Z33" s="800">
        <f t="shared" si="133"/>
        <v>13.251366120218579</v>
      </c>
      <c r="AA33" s="800">
        <f t="shared" si="133"/>
        <v>14.251366120218579</v>
      </c>
      <c r="AB33" s="800">
        <f t="shared" si="133"/>
        <v>15.251366120218579</v>
      </c>
      <c r="AC33" s="800">
        <f t="shared" si="133"/>
        <v>16.251366120218577</v>
      </c>
      <c r="AD33" s="800">
        <f t="shared" si="133"/>
        <v>17.251366120218577</v>
      </c>
      <c r="AE33" s="800">
        <f t="shared" si="133"/>
        <v>18.251366120218577</v>
      </c>
      <c r="AF33" s="800">
        <f t="shared" si="133"/>
        <v>19.251366120218577</v>
      </c>
      <c r="AG33" s="800">
        <f t="shared" si="133"/>
        <v>20.251366120218577</v>
      </c>
      <c r="AH33" s="801">
        <f t="shared" si="133"/>
        <v>21.251366120218577</v>
      </c>
    </row>
    <row r="34" spans="2:34" s="55" customFormat="1" ht="12">
      <c r="B34" s="566" t="s">
        <v>434</v>
      </c>
      <c r="C34" s="567"/>
      <c r="D34" s="567"/>
      <c r="E34" s="799">
        <f>WARA!E19</f>
        <v>0.155</v>
      </c>
      <c r="F34" s="802">
        <f>(1+$E$34)^-F33</f>
        <v>0.94730320937616608</v>
      </c>
      <c r="G34" s="802">
        <f t="shared" ref="G34:P34" si="134">(1+$E$34)^-G33</f>
        <v>0.83500105691918569</v>
      </c>
      <c r="H34" s="802">
        <f t="shared" si="134"/>
        <v>0.72294463802526898</v>
      </c>
      <c r="I34" s="802">
        <f t="shared" si="134"/>
        <v>0.62592609352837147</v>
      </c>
      <c r="J34" s="802">
        <f t="shared" si="134"/>
        <v>0.54192735370421763</v>
      </c>
      <c r="K34" s="802">
        <f t="shared" si="134"/>
        <v>0.46920117203828365</v>
      </c>
      <c r="L34" s="802">
        <f t="shared" si="134"/>
        <v>0.40623478098552701</v>
      </c>
      <c r="M34" s="802">
        <f t="shared" si="134"/>
        <v>0.35171842509569434</v>
      </c>
      <c r="N34" s="802">
        <f t="shared" si="134"/>
        <v>0.30451811696596914</v>
      </c>
      <c r="O34" s="802">
        <f t="shared" si="134"/>
        <v>0.26365204932118541</v>
      </c>
      <c r="P34" s="803">
        <f t="shared" si="134"/>
        <v>0.22827017257245488</v>
      </c>
      <c r="T34" s="566" t="str">
        <f>B34</f>
        <v>Present value factor</v>
      </c>
      <c r="U34" s="567"/>
      <c r="V34" s="567"/>
      <c r="W34" s="799">
        <f>E34</f>
        <v>0.155</v>
      </c>
      <c r="X34" s="802">
        <f t="shared" ref="X34:Y34" si="135">(1+$E$34)^-X33</f>
        <v>0.19763651304974447</v>
      </c>
      <c r="Y34" s="802">
        <f t="shared" si="135"/>
        <v>0.1711138641123329</v>
      </c>
      <c r="Z34" s="802">
        <f t="shared" ref="Z34" si="136">(1+$E$34)^-Z33</f>
        <v>0.14815053169898953</v>
      </c>
      <c r="AA34" s="802">
        <f t="shared" ref="AA34" si="137">(1+$E$34)^-AA33</f>
        <v>0.12826885861384374</v>
      </c>
      <c r="AB34" s="802">
        <f t="shared" ref="AB34" si="138">(1+$E$34)^-AB33</f>
        <v>0.11105528884315476</v>
      </c>
      <c r="AC34" s="802">
        <f t="shared" ref="AC34" si="139">(1+$E$34)^-AC33</f>
        <v>9.6151765232168618E-2</v>
      </c>
      <c r="AD34" s="802">
        <f t="shared" ref="AD34" si="140">(1+$E$34)^-AD33</f>
        <v>8.3248281586293202E-2</v>
      </c>
      <c r="AE34" s="802">
        <f t="shared" ref="AE34" si="141">(1+$E$34)^-AE33</f>
        <v>7.2076434273846926E-2</v>
      </c>
      <c r="AF34" s="802">
        <f t="shared" ref="AF34" si="142">(1+$E$34)^-AF33</f>
        <v>6.2403839198135871E-2</v>
      </c>
      <c r="AG34" s="802">
        <f t="shared" ref="AG34" si="143">(1+$E$34)^-AG33</f>
        <v>5.4029298007044028E-2</v>
      </c>
      <c r="AH34" s="803">
        <f t="shared" ref="AH34" si="144">(1+$E$34)^-AH33</f>
        <v>4.6778612993111715E-2</v>
      </c>
    </row>
    <row r="35" spans="2:34" s="55" customFormat="1" ht="12.75" thickBot="1">
      <c r="B35" s="810" t="s">
        <v>435</v>
      </c>
      <c r="C35" s="811"/>
      <c r="D35" s="811"/>
      <c r="E35" s="811"/>
      <c r="F35" s="812">
        <f>F34*F32</f>
        <v>7063.9932856953146</v>
      </c>
      <c r="G35" s="812">
        <f t="shared" ref="G35:P35" si="145">G34*G32</f>
        <v>8553.3490469798107</v>
      </c>
      <c r="H35" s="812">
        <f t="shared" si="145"/>
        <v>7716.7176339907792</v>
      </c>
      <c r="I35" s="812">
        <f t="shared" si="145"/>
        <v>7006.2565221519144</v>
      </c>
      <c r="J35" s="812">
        <f t="shared" si="145"/>
        <v>6362.313566182117</v>
      </c>
      <c r="K35" s="812">
        <f t="shared" si="145"/>
        <v>5668.2429953258834</v>
      </c>
      <c r="L35" s="812">
        <f t="shared" si="145"/>
        <v>4953.7008480363183</v>
      </c>
      <c r="M35" s="812">
        <f t="shared" si="145"/>
        <v>4329.2343168899215</v>
      </c>
      <c r="N35" s="812">
        <f t="shared" si="145"/>
        <v>3783.4884151244046</v>
      </c>
      <c r="O35" s="812">
        <f t="shared" si="145"/>
        <v>3306.5395724905402</v>
      </c>
      <c r="P35" s="813">
        <f t="shared" si="145"/>
        <v>2889.7151900190047</v>
      </c>
      <c r="Q35" s="809"/>
      <c r="R35" s="809"/>
      <c r="S35" s="809"/>
      <c r="T35" s="810" t="str">
        <f>B35</f>
        <v>Present value of after-tax cash flow</v>
      </c>
      <c r="U35" s="811"/>
      <c r="V35" s="811"/>
      <c r="W35" s="811"/>
      <c r="X35" s="812">
        <f t="shared" ref="X35:Y35" si="146">X34*X32</f>
        <v>2525.4359418226709</v>
      </c>
      <c r="Y35" s="812">
        <f t="shared" si="146"/>
        <v>2207.0779564292675</v>
      </c>
      <c r="Z35" s="812">
        <f t="shared" ref="Z35" si="147">Z34*Z32</f>
        <v>1928.8523716187899</v>
      </c>
      <c r="AA35" s="812">
        <f t="shared" ref="AA35" si="148">AA34*AA32</f>
        <v>1685.700072651088</v>
      </c>
      <c r="AB35" s="812">
        <f t="shared" ref="AB35" si="149">AB34*AB32</f>
        <v>1473.199699856284</v>
      </c>
      <c r="AC35" s="812">
        <f t="shared" ref="AC35" si="150">AC34*AC32</f>
        <v>1287.4872528440985</v>
      </c>
      <c r="AD35" s="812">
        <f t="shared" ref="AD35" si="151">AD34*AD32</f>
        <v>1125.1858294552665</v>
      </c>
      <c r="AE35" s="812">
        <f t="shared" ref="AE35" si="152">AE34*AE32</f>
        <v>983.34422186332995</v>
      </c>
      <c r="AF35" s="812">
        <f t="shared" ref="AF35" si="153">AF34*AF32</f>
        <v>859.38325328904364</v>
      </c>
      <c r="AG35" s="812">
        <f t="shared" ref="AG35" si="154">AG34*AG32</f>
        <v>751.04887954109097</v>
      </c>
      <c r="AH35" s="813">
        <f t="shared" ref="AH35" si="155">AH34*AH32</f>
        <v>656.37120260500205</v>
      </c>
    </row>
    <row r="36" spans="2:34" s="55" customFormat="1" ht="8.1" customHeight="1" thickBot="1"/>
    <row r="37" spans="2:34" s="55" customFormat="1" ht="12">
      <c r="B37" s="604" t="s">
        <v>100</v>
      </c>
      <c r="C37" s="605"/>
      <c r="D37" s="605"/>
      <c r="E37" s="605"/>
      <c r="F37" s="814">
        <f>SUM(F35:P35,X35:AH35)</f>
        <v>77116.638074861956</v>
      </c>
    </row>
    <row r="38" spans="2:34" s="55" customFormat="1" ht="12">
      <c r="B38" s="566" t="s">
        <v>101</v>
      </c>
      <c r="C38" s="567"/>
      <c r="D38" s="567"/>
      <c r="E38" s="799">
        <f>LTGR</f>
        <v>0.03</v>
      </c>
      <c r="F38" s="626">
        <f>IFERROR((AH33*(1+E38))/(E34-E38)*AH34,"n/a")</f>
        <v>8.1914617140160786</v>
      </c>
    </row>
    <row r="39" spans="2:34" s="55" customFormat="1" ht="12">
      <c r="B39" s="566" t="s">
        <v>102</v>
      </c>
      <c r="C39" s="567"/>
      <c r="D39" s="567"/>
      <c r="E39" s="567"/>
      <c r="F39" s="626">
        <f>SUM(F37:F38)</f>
        <v>77124.82953657597</v>
      </c>
    </row>
    <row r="40" spans="2:34" s="55" customFormat="1" ht="12">
      <c r="B40" s="566" t="s">
        <v>103</v>
      </c>
      <c r="C40" s="567"/>
      <c r="D40" s="567"/>
      <c r="E40" s="567"/>
      <c r="F40" s="607">
        <f>F39*($F$59/($F$59-((PV($E$34,$F$59,-1)*(1+$E$34)^0.5)*$E$27))-1)</f>
        <v>9233.0318319193211</v>
      </c>
    </row>
    <row r="41" spans="2:34" s="55" customFormat="1" ht="12.75" thickBot="1">
      <c r="B41" s="568" t="s">
        <v>104</v>
      </c>
      <c r="C41" s="569"/>
      <c r="D41" s="569"/>
      <c r="E41" s="569"/>
      <c r="F41" s="804">
        <f>SUM(F39:F40)</f>
        <v>86357.861368495287</v>
      </c>
    </row>
    <row r="42" spans="2:34" s="55" customFormat="1" ht="8.1" customHeight="1"/>
    <row r="43" spans="2:34" s="55" customFormat="1" ht="8.1" customHeight="1" thickBot="1"/>
    <row r="44" spans="2:34" s="55" customFormat="1" ht="12.75">
      <c r="B44" s="117" t="s">
        <v>122</v>
      </c>
      <c r="C44" s="118"/>
      <c r="D44" s="118"/>
      <c r="E44" s="118"/>
      <c r="F44" s="791">
        <f>F8</f>
        <v>44196</v>
      </c>
      <c r="G44" s="795">
        <f>G8</f>
        <v>44561</v>
      </c>
      <c r="H44" s="795">
        <f>H8</f>
        <v>44926</v>
      </c>
      <c r="I44" s="795">
        <f>I8</f>
        <v>45291</v>
      </c>
      <c r="J44" s="795">
        <f>J8</f>
        <v>45657</v>
      </c>
      <c r="K44" s="795">
        <f>K8</f>
        <v>46022</v>
      </c>
      <c r="L44" s="795">
        <f>L8</f>
        <v>46387</v>
      </c>
      <c r="M44" s="795">
        <f>M8</f>
        <v>46752</v>
      </c>
      <c r="N44" s="795">
        <f>N8</f>
        <v>47118</v>
      </c>
      <c r="O44" s="795">
        <f>O8</f>
        <v>47483</v>
      </c>
      <c r="P44" s="796">
        <f>P8</f>
        <v>47848</v>
      </c>
      <c r="T44" s="117" t="s">
        <v>122</v>
      </c>
      <c r="U44" s="118"/>
      <c r="V44" s="118"/>
      <c r="W44" s="118"/>
      <c r="X44" s="791">
        <f>X8</f>
        <v>48213</v>
      </c>
      <c r="Y44" s="795">
        <f t="shared" ref="Y44:AH44" si="156">Y8</f>
        <v>48579</v>
      </c>
      <c r="Z44" s="795">
        <f t="shared" si="156"/>
        <v>48944</v>
      </c>
      <c r="AA44" s="795">
        <f t="shared" si="156"/>
        <v>49309</v>
      </c>
      <c r="AB44" s="795">
        <f t="shared" si="156"/>
        <v>49674</v>
      </c>
      <c r="AC44" s="795">
        <f t="shared" si="156"/>
        <v>50040</v>
      </c>
      <c r="AD44" s="795">
        <f t="shared" si="156"/>
        <v>50405</v>
      </c>
      <c r="AE44" s="795">
        <f t="shared" si="156"/>
        <v>50770</v>
      </c>
      <c r="AF44" s="795">
        <f t="shared" si="156"/>
        <v>51135</v>
      </c>
      <c r="AG44" s="795">
        <f t="shared" si="156"/>
        <v>51501</v>
      </c>
      <c r="AH44" s="796">
        <f t="shared" si="156"/>
        <v>51866</v>
      </c>
    </row>
    <row r="45" spans="2:34" s="55" customFormat="1" ht="12">
      <c r="B45" s="566" t="s">
        <v>437</v>
      </c>
      <c r="C45" s="567"/>
      <c r="D45" s="567"/>
      <c r="E45" s="567"/>
      <c r="F45" s="822" t="s">
        <v>309</v>
      </c>
      <c r="G45" s="728">
        <f>PFI!Q22</f>
        <v>5.3206264416656435E-2</v>
      </c>
      <c r="H45" s="728">
        <f>PFI!R22</f>
        <v>6.3291451783577868E-2</v>
      </c>
      <c r="I45" s="728">
        <f>PFI!S22</f>
        <v>7.0062965875309358E-2</v>
      </c>
      <c r="J45" s="728">
        <f>PFI!T22</f>
        <v>7.0249278627832812E-2</v>
      </c>
      <c r="K45" s="728">
        <f>PFI!U22</f>
        <v>5.0000000000000044E-2</v>
      </c>
      <c r="L45" s="728">
        <f>PFI!V22</f>
        <v>3.0000000000000027E-2</v>
      </c>
      <c r="M45" s="728">
        <f>L45</f>
        <v>3.0000000000000027E-2</v>
      </c>
      <c r="N45" s="728">
        <f t="shared" ref="N45:P45" si="157">M45</f>
        <v>3.0000000000000027E-2</v>
      </c>
      <c r="O45" s="728">
        <f t="shared" si="157"/>
        <v>3.0000000000000027E-2</v>
      </c>
      <c r="P45" s="824">
        <f t="shared" si="157"/>
        <v>3.0000000000000027E-2</v>
      </c>
      <c r="T45" s="566" t="s">
        <v>437</v>
      </c>
      <c r="U45" s="567"/>
      <c r="V45" s="567"/>
      <c r="W45" s="567"/>
      <c r="X45" s="828">
        <f>P45</f>
        <v>3.0000000000000027E-2</v>
      </c>
      <c r="Y45" s="728">
        <f t="shared" ref="Y45:AH45" si="158">X45</f>
        <v>3.0000000000000027E-2</v>
      </c>
      <c r="Z45" s="728">
        <f t="shared" si="158"/>
        <v>3.0000000000000027E-2</v>
      </c>
      <c r="AA45" s="728">
        <f t="shared" si="158"/>
        <v>3.0000000000000027E-2</v>
      </c>
      <c r="AB45" s="728">
        <f t="shared" si="158"/>
        <v>3.0000000000000027E-2</v>
      </c>
      <c r="AC45" s="728">
        <f t="shared" si="158"/>
        <v>3.0000000000000027E-2</v>
      </c>
      <c r="AD45" s="728">
        <f t="shared" si="158"/>
        <v>3.0000000000000027E-2</v>
      </c>
      <c r="AE45" s="728">
        <f t="shared" si="158"/>
        <v>3.0000000000000027E-2</v>
      </c>
      <c r="AF45" s="728">
        <f t="shared" si="158"/>
        <v>3.0000000000000027E-2</v>
      </c>
      <c r="AG45" s="728">
        <f t="shared" si="158"/>
        <v>3.0000000000000027E-2</v>
      </c>
      <c r="AH45" s="824">
        <f t="shared" si="158"/>
        <v>3.0000000000000027E-2</v>
      </c>
    </row>
    <row r="46" spans="2:34" s="55" customFormat="1" ht="12">
      <c r="B46" s="566" t="s">
        <v>335</v>
      </c>
      <c r="C46" s="567"/>
      <c r="D46" s="567"/>
      <c r="E46" s="567"/>
      <c r="F46" s="822">
        <f>PFI!P11</f>
        <v>0.12</v>
      </c>
      <c r="G46" s="728">
        <f>PFI!Q11</f>
        <v>0.12</v>
      </c>
      <c r="H46" s="728">
        <f>PFI!R11</f>
        <v>0.12</v>
      </c>
      <c r="I46" s="728">
        <f>PFI!S11</f>
        <v>0.12</v>
      </c>
      <c r="J46" s="728">
        <f>PFI!T11</f>
        <v>0.12</v>
      </c>
      <c r="K46" s="728">
        <f>PFI!U11</f>
        <v>0.12</v>
      </c>
      <c r="L46" s="728">
        <f>PFI!V11</f>
        <v>0.12</v>
      </c>
      <c r="M46" s="728">
        <f>L46</f>
        <v>0.12</v>
      </c>
      <c r="N46" s="728">
        <f t="shared" ref="N46:P46" si="159">M46</f>
        <v>0.12</v>
      </c>
      <c r="O46" s="728">
        <f t="shared" si="159"/>
        <v>0.12</v>
      </c>
      <c r="P46" s="824">
        <f t="shared" si="159"/>
        <v>0.12</v>
      </c>
      <c r="T46" s="566" t="s">
        <v>335</v>
      </c>
      <c r="U46" s="567"/>
      <c r="V46" s="567"/>
      <c r="W46" s="567"/>
      <c r="X46" s="828">
        <f>P46</f>
        <v>0.12</v>
      </c>
      <c r="Y46" s="728">
        <f t="shared" ref="Y46:AH46" si="160">X46</f>
        <v>0.12</v>
      </c>
      <c r="Z46" s="728">
        <f t="shared" si="160"/>
        <v>0.12</v>
      </c>
      <c r="AA46" s="728">
        <f t="shared" si="160"/>
        <v>0.12</v>
      </c>
      <c r="AB46" s="728">
        <f t="shared" si="160"/>
        <v>0.12</v>
      </c>
      <c r="AC46" s="728">
        <f t="shared" si="160"/>
        <v>0.12</v>
      </c>
      <c r="AD46" s="728">
        <f t="shared" si="160"/>
        <v>0.12</v>
      </c>
      <c r="AE46" s="728">
        <f t="shared" si="160"/>
        <v>0.12</v>
      </c>
      <c r="AF46" s="728">
        <f t="shared" si="160"/>
        <v>0.12</v>
      </c>
      <c r="AG46" s="728">
        <f t="shared" si="160"/>
        <v>0.12</v>
      </c>
      <c r="AH46" s="824">
        <f t="shared" si="160"/>
        <v>0.12</v>
      </c>
    </row>
    <row r="47" spans="2:34" s="55" customFormat="1" ht="12">
      <c r="B47" s="566" t="s">
        <v>339</v>
      </c>
      <c r="C47" s="567"/>
      <c r="D47" s="567"/>
      <c r="E47" s="567"/>
      <c r="F47" s="822">
        <f>F16/F13</f>
        <v>0.88</v>
      </c>
      <c r="G47" s="728">
        <f t="shared" ref="G47:M47" si="161">G16/G13</f>
        <v>0.88</v>
      </c>
      <c r="H47" s="728">
        <f t="shared" si="161"/>
        <v>0.88</v>
      </c>
      <c r="I47" s="728">
        <f t="shared" si="161"/>
        <v>0.88</v>
      </c>
      <c r="J47" s="728">
        <f t="shared" si="161"/>
        <v>0.88</v>
      </c>
      <c r="K47" s="728">
        <f t="shared" si="161"/>
        <v>0.88000000000000012</v>
      </c>
      <c r="L47" s="728">
        <f t="shared" si="161"/>
        <v>0.88000000000000012</v>
      </c>
      <c r="M47" s="728">
        <f t="shared" si="161"/>
        <v>0.88</v>
      </c>
      <c r="N47" s="728">
        <f t="shared" ref="N47:P47" si="162">N16/N13</f>
        <v>0.88</v>
      </c>
      <c r="O47" s="728">
        <f t="shared" si="162"/>
        <v>0.88</v>
      </c>
      <c r="P47" s="824">
        <f t="shared" si="162"/>
        <v>0.88</v>
      </c>
      <c r="T47" s="566" t="s">
        <v>339</v>
      </c>
      <c r="U47" s="567"/>
      <c r="V47" s="567"/>
      <c r="W47" s="567"/>
      <c r="X47" s="828">
        <f t="shared" ref="X47:Y47" si="163">X16/X13</f>
        <v>0.88000000000000012</v>
      </c>
      <c r="Y47" s="728">
        <f t="shared" si="163"/>
        <v>0.88</v>
      </c>
      <c r="Z47" s="728">
        <f t="shared" ref="Z47:AH47" si="164">Z16/Z13</f>
        <v>0.88</v>
      </c>
      <c r="AA47" s="728">
        <f t="shared" si="164"/>
        <v>0.88000000000000012</v>
      </c>
      <c r="AB47" s="728">
        <f t="shared" si="164"/>
        <v>0.88</v>
      </c>
      <c r="AC47" s="728">
        <f t="shared" si="164"/>
        <v>0.88</v>
      </c>
      <c r="AD47" s="728">
        <f t="shared" si="164"/>
        <v>0.88</v>
      </c>
      <c r="AE47" s="728">
        <f t="shared" si="164"/>
        <v>0.88</v>
      </c>
      <c r="AF47" s="728">
        <f t="shared" si="164"/>
        <v>0.88</v>
      </c>
      <c r="AG47" s="728">
        <f t="shared" si="164"/>
        <v>0.87999999999999989</v>
      </c>
      <c r="AH47" s="824">
        <f t="shared" si="164"/>
        <v>0.87999999999999989</v>
      </c>
    </row>
    <row r="48" spans="2:34" s="55" customFormat="1" ht="12">
      <c r="B48" s="566" t="s">
        <v>207</v>
      </c>
      <c r="C48" s="567"/>
      <c r="D48" s="567"/>
      <c r="E48" s="567"/>
      <c r="F48" s="822">
        <f>PFI!P12</f>
        <v>0.25</v>
      </c>
      <c r="G48" s="728">
        <f>PFI!Q12</f>
        <v>0.25</v>
      </c>
      <c r="H48" s="728">
        <f>PFI!R12</f>
        <v>0.25</v>
      </c>
      <c r="I48" s="728">
        <f>PFI!S12</f>
        <v>0.25</v>
      </c>
      <c r="J48" s="728">
        <f>PFI!T12</f>
        <v>0.25</v>
      </c>
      <c r="K48" s="728">
        <f>PFI!U12</f>
        <v>0.25</v>
      </c>
      <c r="L48" s="728">
        <f>PFI!V12</f>
        <v>0.25</v>
      </c>
      <c r="M48" s="728">
        <f>L48</f>
        <v>0.25</v>
      </c>
      <c r="N48" s="728">
        <f t="shared" ref="N48:P48" si="165">M48</f>
        <v>0.25</v>
      </c>
      <c r="O48" s="728">
        <f t="shared" si="165"/>
        <v>0.25</v>
      </c>
      <c r="P48" s="824">
        <f t="shared" si="165"/>
        <v>0.25</v>
      </c>
      <c r="T48" s="566" t="s">
        <v>207</v>
      </c>
      <c r="U48" s="567"/>
      <c r="V48" s="567"/>
      <c r="W48" s="567"/>
      <c r="X48" s="828">
        <f>P48</f>
        <v>0.25</v>
      </c>
      <c r="Y48" s="728">
        <f t="shared" ref="Y48:AH48" si="166">X48</f>
        <v>0.25</v>
      </c>
      <c r="Z48" s="728">
        <f t="shared" si="166"/>
        <v>0.25</v>
      </c>
      <c r="AA48" s="728">
        <f t="shared" si="166"/>
        <v>0.25</v>
      </c>
      <c r="AB48" s="728">
        <f t="shared" si="166"/>
        <v>0.25</v>
      </c>
      <c r="AC48" s="728">
        <f t="shared" si="166"/>
        <v>0.25</v>
      </c>
      <c r="AD48" s="728">
        <f t="shared" si="166"/>
        <v>0.25</v>
      </c>
      <c r="AE48" s="728">
        <f t="shared" si="166"/>
        <v>0.25</v>
      </c>
      <c r="AF48" s="728">
        <f t="shared" si="166"/>
        <v>0.25</v>
      </c>
      <c r="AG48" s="728">
        <f t="shared" si="166"/>
        <v>0.25</v>
      </c>
      <c r="AH48" s="824">
        <f t="shared" si="166"/>
        <v>0.25</v>
      </c>
    </row>
    <row r="49" spans="2:34" s="55" customFormat="1" ht="12">
      <c r="B49" s="566" t="s">
        <v>438</v>
      </c>
      <c r="C49" s="567"/>
      <c r="D49" s="567"/>
      <c r="E49" s="567"/>
      <c r="F49" s="822">
        <f>PFI!P13</f>
        <v>0.1</v>
      </c>
      <c r="G49" s="728">
        <f>PFI!Q13</f>
        <v>0.1</v>
      </c>
      <c r="H49" s="728">
        <f>PFI!R13</f>
        <v>0.1</v>
      </c>
      <c r="I49" s="728">
        <f>PFI!S13</f>
        <v>0.1</v>
      </c>
      <c r="J49" s="728">
        <f>PFI!T13</f>
        <v>0.1</v>
      </c>
      <c r="K49" s="728">
        <f>PFI!U13</f>
        <v>0.1</v>
      </c>
      <c r="L49" s="728">
        <f>PFI!V13</f>
        <v>0.1</v>
      </c>
      <c r="M49" s="728">
        <f>L49</f>
        <v>0.1</v>
      </c>
      <c r="N49" s="728">
        <f t="shared" ref="N49:P49" si="167">M49</f>
        <v>0.1</v>
      </c>
      <c r="O49" s="728">
        <f t="shared" si="167"/>
        <v>0.1</v>
      </c>
      <c r="P49" s="824">
        <f t="shared" si="167"/>
        <v>0.1</v>
      </c>
      <c r="T49" s="566" t="s">
        <v>438</v>
      </c>
      <c r="U49" s="567"/>
      <c r="V49" s="567"/>
      <c r="W49" s="567"/>
      <c r="X49" s="828">
        <f>P49</f>
        <v>0.1</v>
      </c>
      <c r="Y49" s="728">
        <f t="shared" ref="Y49:AH49" si="168">X49</f>
        <v>0.1</v>
      </c>
      <c r="Z49" s="728">
        <f t="shared" si="168"/>
        <v>0.1</v>
      </c>
      <c r="AA49" s="728">
        <f t="shared" si="168"/>
        <v>0.1</v>
      </c>
      <c r="AB49" s="728">
        <f t="shared" si="168"/>
        <v>0.1</v>
      </c>
      <c r="AC49" s="728">
        <f t="shared" si="168"/>
        <v>0.1</v>
      </c>
      <c r="AD49" s="728">
        <f t="shared" si="168"/>
        <v>0.1</v>
      </c>
      <c r="AE49" s="728">
        <f t="shared" si="168"/>
        <v>0.1</v>
      </c>
      <c r="AF49" s="728">
        <f t="shared" si="168"/>
        <v>0.1</v>
      </c>
      <c r="AG49" s="728">
        <f t="shared" si="168"/>
        <v>0.1</v>
      </c>
      <c r="AH49" s="824">
        <f t="shared" si="168"/>
        <v>0.1</v>
      </c>
    </row>
    <row r="50" spans="2:34">
      <c r="B50" s="793" t="s">
        <v>439</v>
      </c>
      <c r="C50" s="186"/>
      <c r="D50" s="186"/>
      <c r="E50" s="186"/>
      <c r="F50" s="823">
        <v>0.1</v>
      </c>
      <c r="G50" s="728">
        <f>F50</f>
        <v>0.1</v>
      </c>
      <c r="H50" s="728">
        <f t="shared" ref="H50:M50" si="169">G50</f>
        <v>0.1</v>
      </c>
      <c r="I50" s="728">
        <f t="shared" si="169"/>
        <v>0.1</v>
      </c>
      <c r="J50" s="728">
        <f t="shared" si="169"/>
        <v>0.1</v>
      </c>
      <c r="K50" s="728">
        <f t="shared" si="169"/>
        <v>0.1</v>
      </c>
      <c r="L50" s="728">
        <f t="shared" si="169"/>
        <v>0.1</v>
      </c>
      <c r="M50" s="728">
        <f t="shared" si="169"/>
        <v>0.1</v>
      </c>
      <c r="N50" s="728">
        <f t="shared" ref="N50:P50" si="170">M50</f>
        <v>0.1</v>
      </c>
      <c r="O50" s="728">
        <f t="shared" si="170"/>
        <v>0.1</v>
      </c>
      <c r="P50" s="824">
        <f t="shared" si="170"/>
        <v>0.1</v>
      </c>
      <c r="T50" s="793" t="s">
        <v>439</v>
      </c>
      <c r="U50" s="186"/>
      <c r="V50" s="186"/>
      <c r="W50" s="186"/>
      <c r="X50" s="828">
        <f>P50</f>
        <v>0.1</v>
      </c>
      <c r="Y50" s="728">
        <f t="shared" ref="Y50:AH57" si="171">X50</f>
        <v>0.1</v>
      </c>
      <c r="Z50" s="728">
        <f t="shared" si="171"/>
        <v>0.1</v>
      </c>
      <c r="AA50" s="728">
        <f t="shared" si="171"/>
        <v>0.1</v>
      </c>
      <c r="AB50" s="728">
        <f t="shared" si="171"/>
        <v>0.1</v>
      </c>
      <c r="AC50" s="728">
        <f t="shared" si="171"/>
        <v>0.1</v>
      </c>
      <c r="AD50" s="728">
        <f t="shared" si="171"/>
        <v>0.1</v>
      </c>
      <c r="AE50" s="728">
        <f t="shared" si="171"/>
        <v>0.1</v>
      </c>
      <c r="AF50" s="728">
        <f t="shared" si="171"/>
        <v>0.1</v>
      </c>
      <c r="AG50" s="728">
        <f t="shared" si="171"/>
        <v>0.1</v>
      </c>
      <c r="AH50" s="824">
        <f t="shared" si="171"/>
        <v>0.1</v>
      </c>
    </row>
    <row r="51" spans="2:34">
      <c r="B51" s="793" t="s">
        <v>440</v>
      </c>
      <c r="C51" s="186"/>
      <c r="D51" s="186"/>
      <c r="E51" s="186"/>
      <c r="F51" s="822">
        <f>F49-F50</f>
        <v>0</v>
      </c>
      <c r="G51" s="728">
        <f t="shared" ref="G51:P51" si="172">G49-G50</f>
        <v>0</v>
      </c>
      <c r="H51" s="728">
        <f t="shared" si="172"/>
        <v>0</v>
      </c>
      <c r="I51" s="728">
        <f t="shared" si="172"/>
        <v>0</v>
      </c>
      <c r="J51" s="728">
        <f t="shared" si="172"/>
        <v>0</v>
      </c>
      <c r="K51" s="728">
        <f t="shared" si="172"/>
        <v>0</v>
      </c>
      <c r="L51" s="728">
        <f t="shared" si="172"/>
        <v>0</v>
      </c>
      <c r="M51" s="728">
        <f t="shared" si="172"/>
        <v>0</v>
      </c>
      <c r="N51" s="728">
        <f t="shared" si="172"/>
        <v>0</v>
      </c>
      <c r="O51" s="728">
        <f t="shared" si="172"/>
        <v>0</v>
      </c>
      <c r="P51" s="824">
        <f t="shared" si="172"/>
        <v>0</v>
      </c>
      <c r="T51" s="793" t="s">
        <v>440</v>
      </c>
      <c r="U51" s="186"/>
      <c r="V51" s="186"/>
      <c r="W51" s="186"/>
      <c r="X51" s="828">
        <f t="shared" ref="X51" si="173">X49-X50</f>
        <v>0</v>
      </c>
      <c r="Y51" s="728">
        <f t="shared" ref="Y51" si="174">Y49-Y50</f>
        <v>0</v>
      </c>
      <c r="Z51" s="728">
        <f t="shared" ref="Z51" si="175">Z49-Z50</f>
        <v>0</v>
      </c>
      <c r="AA51" s="728">
        <f t="shared" ref="AA51" si="176">AA49-AA50</f>
        <v>0</v>
      </c>
      <c r="AB51" s="728">
        <f t="shared" ref="AB51" si="177">AB49-AB50</f>
        <v>0</v>
      </c>
      <c r="AC51" s="728">
        <f t="shared" ref="AC51" si="178">AC49-AC50</f>
        <v>0</v>
      </c>
      <c r="AD51" s="728">
        <f t="shared" ref="AD51" si="179">AD49-AD50</f>
        <v>0</v>
      </c>
      <c r="AE51" s="728">
        <f t="shared" ref="AE51" si="180">AE49-AE50</f>
        <v>0</v>
      </c>
      <c r="AF51" s="728">
        <f t="shared" ref="AF51" si="181">AF49-AF50</f>
        <v>0</v>
      </c>
      <c r="AG51" s="728">
        <f t="shared" ref="AG51" si="182">AG49-AG50</f>
        <v>0</v>
      </c>
      <c r="AH51" s="824">
        <f t="shared" ref="AH51" si="183">AH49-AH50</f>
        <v>0</v>
      </c>
    </row>
    <row r="52" spans="2:34">
      <c r="B52" s="793" t="s">
        <v>208</v>
      </c>
      <c r="C52" s="186"/>
      <c r="D52" s="186"/>
      <c r="E52" s="186"/>
      <c r="F52" s="822">
        <f>PFI!P14</f>
        <v>0.1</v>
      </c>
      <c r="G52" s="728">
        <f>PFI!Q14</f>
        <v>0.1</v>
      </c>
      <c r="H52" s="728">
        <f>PFI!R14</f>
        <v>0.1</v>
      </c>
      <c r="I52" s="728">
        <f>PFI!S14</f>
        <v>0.1</v>
      </c>
      <c r="J52" s="728">
        <f>PFI!T14</f>
        <v>0.1</v>
      </c>
      <c r="K52" s="728">
        <f>PFI!U14</f>
        <v>0.1</v>
      </c>
      <c r="L52" s="728">
        <f>PFI!V14</f>
        <v>0.1</v>
      </c>
      <c r="M52" s="728">
        <f>L52</f>
        <v>0.1</v>
      </c>
      <c r="N52" s="728">
        <f t="shared" ref="N52:P53" si="184">M52</f>
        <v>0.1</v>
      </c>
      <c r="O52" s="728">
        <f t="shared" si="184"/>
        <v>0.1</v>
      </c>
      <c r="P52" s="824">
        <f t="shared" si="184"/>
        <v>0.1</v>
      </c>
      <c r="T52" s="793" t="s">
        <v>208</v>
      </c>
      <c r="U52" s="186"/>
      <c r="V52" s="186"/>
      <c r="W52" s="186"/>
      <c r="X52" s="828">
        <f>P52</f>
        <v>0.1</v>
      </c>
      <c r="Y52" s="728">
        <f t="shared" si="171"/>
        <v>0.1</v>
      </c>
      <c r="Z52" s="728">
        <f t="shared" si="171"/>
        <v>0.1</v>
      </c>
      <c r="AA52" s="728">
        <f t="shared" si="171"/>
        <v>0.1</v>
      </c>
      <c r="AB52" s="728">
        <f t="shared" si="171"/>
        <v>0.1</v>
      </c>
      <c r="AC52" s="728">
        <f t="shared" si="171"/>
        <v>0.1</v>
      </c>
      <c r="AD52" s="728">
        <f t="shared" si="171"/>
        <v>0.1</v>
      </c>
      <c r="AE52" s="728">
        <f t="shared" si="171"/>
        <v>0.1</v>
      </c>
      <c r="AF52" s="728">
        <f t="shared" si="171"/>
        <v>0.1</v>
      </c>
      <c r="AG52" s="728">
        <f t="shared" si="171"/>
        <v>0.1</v>
      </c>
      <c r="AH52" s="824">
        <f t="shared" si="171"/>
        <v>0.1</v>
      </c>
    </row>
    <row r="53" spans="2:34">
      <c r="B53" s="793" t="s">
        <v>423</v>
      </c>
      <c r="C53" s="186"/>
      <c r="D53" s="186"/>
      <c r="E53" s="186"/>
      <c r="F53" s="823">
        <v>0</v>
      </c>
      <c r="G53" s="728">
        <f>F53</f>
        <v>0</v>
      </c>
      <c r="H53" s="728">
        <f t="shared" ref="H53:M53" si="185">G53</f>
        <v>0</v>
      </c>
      <c r="I53" s="728">
        <f t="shared" si="185"/>
        <v>0</v>
      </c>
      <c r="J53" s="728">
        <f t="shared" si="185"/>
        <v>0</v>
      </c>
      <c r="K53" s="728">
        <f t="shared" si="185"/>
        <v>0</v>
      </c>
      <c r="L53" s="728">
        <f t="shared" si="185"/>
        <v>0</v>
      </c>
      <c r="M53" s="728">
        <f t="shared" si="185"/>
        <v>0</v>
      </c>
      <c r="N53" s="728">
        <f t="shared" si="184"/>
        <v>0</v>
      </c>
      <c r="O53" s="728">
        <f t="shared" si="184"/>
        <v>0</v>
      </c>
      <c r="P53" s="824">
        <f t="shared" si="184"/>
        <v>0</v>
      </c>
      <c r="T53" s="793" t="s">
        <v>423</v>
      </c>
      <c r="U53" s="186"/>
      <c r="V53" s="186"/>
      <c r="W53" s="186"/>
      <c r="X53" s="828">
        <f>P53</f>
        <v>0</v>
      </c>
      <c r="Y53" s="728">
        <f t="shared" si="171"/>
        <v>0</v>
      </c>
      <c r="Z53" s="728">
        <f t="shared" si="171"/>
        <v>0</v>
      </c>
      <c r="AA53" s="728">
        <f t="shared" si="171"/>
        <v>0</v>
      </c>
      <c r="AB53" s="728">
        <f t="shared" si="171"/>
        <v>0</v>
      </c>
      <c r="AC53" s="728">
        <f t="shared" si="171"/>
        <v>0</v>
      </c>
      <c r="AD53" s="728">
        <f t="shared" si="171"/>
        <v>0</v>
      </c>
      <c r="AE53" s="728">
        <f t="shared" si="171"/>
        <v>0</v>
      </c>
      <c r="AF53" s="728">
        <f t="shared" si="171"/>
        <v>0</v>
      </c>
      <c r="AG53" s="728">
        <f t="shared" si="171"/>
        <v>0</v>
      </c>
      <c r="AH53" s="824">
        <f t="shared" si="171"/>
        <v>0</v>
      </c>
    </row>
    <row r="54" spans="2:34">
      <c r="B54" s="793" t="s">
        <v>74</v>
      </c>
      <c r="C54" s="186"/>
      <c r="D54" s="186"/>
      <c r="E54" s="186"/>
      <c r="F54" s="822">
        <f>F21/F13</f>
        <v>0.52999999999999992</v>
      </c>
      <c r="G54" s="728">
        <f t="shared" ref="G54:P54" si="186">G21/G13</f>
        <v>0.53</v>
      </c>
      <c r="H54" s="728">
        <f t="shared" si="186"/>
        <v>0.53</v>
      </c>
      <c r="I54" s="728">
        <f t="shared" si="186"/>
        <v>0.52999999999999992</v>
      </c>
      <c r="J54" s="728">
        <f t="shared" si="186"/>
        <v>0.53</v>
      </c>
      <c r="K54" s="728">
        <f t="shared" si="186"/>
        <v>0.53</v>
      </c>
      <c r="L54" s="728">
        <f t="shared" si="186"/>
        <v>0.53</v>
      </c>
      <c r="M54" s="728">
        <f t="shared" si="186"/>
        <v>0.52999999999999992</v>
      </c>
      <c r="N54" s="728">
        <f t="shared" si="186"/>
        <v>0.53</v>
      </c>
      <c r="O54" s="728">
        <f t="shared" si="186"/>
        <v>0.53</v>
      </c>
      <c r="P54" s="824">
        <f t="shared" si="186"/>
        <v>0.52999999999999992</v>
      </c>
      <c r="T54" s="793" t="s">
        <v>74</v>
      </c>
      <c r="U54" s="186"/>
      <c r="V54" s="186"/>
      <c r="W54" s="186"/>
      <c r="X54" s="828">
        <f>X21/X13</f>
        <v>0.53000000000000014</v>
      </c>
      <c r="Y54" s="728">
        <f t="shared" ref="Y54:AH54" si="187">Y21/Y13</f>
        <v>0.52999999999999992</v>
      </c>
      <c r="Z54" s="728">
        <f t="shared" si="187"/>
        <v>0.53</v>
      </c>
      <c r="AA54" s="728">
        <f t="shared" si="187"/>
        <v>0.53</v>
      </c>
      <c r="AB54" s="728">
        <f t="shared" si="187"/>
        <v>0.53</v>
      </c>
      <c r="AC54" s="728">
        <f t="shared" si="187"/>
        <v>0.52999999999999992</v>
      </c>
      <c r="AD54" s="728">
        <f t="shared" si="187"/>
        <v>0.52999999999999992</v>
      </c>
      <c r="AE54" s="728">
        <f t="shared" si="187"/>
        <v>0.52999999999999992</v>
      </c>
      <c r="AF54" s="728">
        <f t="shared" si="187"/>
        <v>0.52999999999999992</v>
      </c>
      <c r="AG54" s="728">
        <f t="shared" si="187"/>
        <v>0.52999999999999992</v>
      </c>
      <c r="AH54" s="824">
        <f t="shared" si="187"/>
        <v>0.52999999999999992</v>
      </c>
    </row>
    <row r="55" spans="2:34">
      <c r="B55" s="793" t="s">
        <v>424</v>
      </c>
      <c r="C55" s="186"/>
      <c r="D55" s="186"/>
      <c r="E55" s="186"/>
      <c r="F55" s="822">
        <f>PFI!P15</f>
        <v>0.03</v>
      </c>
      <c r="G55" s="728">
        <f>PFI!Q15</f>
        <v>0.03</v>
      </c>
      <c r="H55" s="728">
        <f>PFI!R15</f>
        <v>0.03</v>
      </c>
      <c r="I55" s="728">
        <f>PFI!S15</f>
        <v>0.03</v>
      </c>
      <c r="J55" s="728">
        <f>PFI!T15</f>
        <v>0.03</v>
      </c>
      <c r="K55" s="728">
        <f>PFI!U15</f>
        <v>0.03</v>
      </c>
      <c r="L55" s="728">
        <f>PFI!V15</f>
        <v>0.03</v>
      </c>
      <c r="M55" s="728">
        <f>L55</f>
        <v>0.03</v>
      </c>
      <c r="N55" s="728">
        <f t="shared" ref="N55:P55" si="188">M55</f>
        <v>0.03</v>
      </c>
      <c r="O55" s="728">
        <f t="shared" si="188"/>
        <v>0.03</v>
      </c>
      <c r="P55" s="824">
        <f t="shared" si="188"/>
        <v>0.03</v>
      </c>
      <c r="T55" s="793" t="s">
        <v>424</v>
      </c>
      <c r="U55" s="186"/>
      <c r="V55" s="186"/>
      <c r="W55" s="186"/>
      <c r="X55" s="828">
        <f>P55</f>
        <v>0.03</v>
      </c>
      <c r="Y55" s="728">
        <f t="shared" si="171"/>
        <v>0.03</v>
      </c>
      <c r="Z55" s="728">
        <f t="shared" si="171"/>
        <v>0.03</v>
      </c>
      <c r="AA55" s="728">
        <f t="shared" si="171"/>
        <v>0.03</v>
      </c>
      <c r="AB55" s="728">
        <f t="shared" si="171"/>
        <v>0.03</v>
      </c>
      <c r="AC55" s="728">
        <f t="shared" si="171"/>
        <v>0.03</v>
      </c>
      <c r="AD55" s="728">
        <f t="shared" si="171"/>
        <v>0.03</v>
      </c>
      <c r="AE55" s="728">
        <f t="shared" si="171"/>
        <v>0.03</v>
      </c>
      <c r="AF55" s="728">
        <f t="shared" si="171"/>
        <v>0.03</v>
      </c>
      <c r="AG55" s="728">
        <f t="shared" si="171"/>
        <v>0.03</v>
      </c>
      <c r="AH55" s="824">
        <f t="shared" si="171"/>
        <v>0.03</v>
      </c>
    </row>
    <row r="56" spans="2:34">
      <c r="B56" s="793" t="s">
        <v>441</v>
      </c>
      <c r="C56" s="186"/>
      <c r="D56" s="186"/>
      <c r="E56" s="186"/>
      <c r="F56" s="822">
        <f>F23/F13</f>
        <v>0.49999999999999994</v>
      </c>
      <c r="G56" s="728">
        <f t="shared" ref="G56:P56" si="189">G23/G13</f>
        <v>0.5</v>
      </c>
      <c r="H56" s="728">
        <f t="shared" si="189"/>
        <v>0.5</v>
      </c>
      <c r="I56" s="728">
        <f t="shared" si="189"/>
        <v>0.49999999999999989</v>
      </c>
      <c r="J56" s="728">
        <f t="shared" si="189"/>
        <v>0.50000000000000011</v>
      </c>
      <c r="K56" s="728">
        <f t="shared" si="189"/>
        <v>0.5</v>
      </c>
      <c r="L56" s="728">
        <f t="shared" si="189"/>
        <v>0.5</v>
      </c>
      <c r="M56" s="728">
        <f t="shared" si="189"/>
        <v>0.5</v>
      </c>
      <c r="N56" s="728">
        <f t="shared" si="189"/>
        <v>0.50000000000000011</v>
      </c>
      <c r="O56" s="728">
        <f t="shared" si="189"/>
        <v>0.5</v>
      </c>
      <c r="P56" s="824">
        <f t="shared" si="189"/>
        <v>0.49999999999999989</v>
      </c>
      <c r="T56" s="793" t="s">
        <v>441</v>
      </c>
      <c r="U56" s="186"/>
      <c r="V56" s="186"/>
      <c r="W56" s="186"/>
      <c r="X56" s="828">
        <f>X23/X13</f>
        <v>0.50000000000000011</v>
      </c>
      <c r="Y56" s="728">
        <f t="shared" ref="Y56:AH56" si="190">Y23/Y13</f>
        <v>0.5</v>
      </c>
      <c r="Z56" s="728">
        <f t="shared" si="190"/>
        <v>0.5</v>
      </c>
      <c r="AA56" s="728">
        <f t="shared" si="190"/>
        <v>0.50000000000000011</v>
      </c>
      <c r="AB56" s="728">
        <f t="shared" si="190"/>
        <v>0.5</v>
      </c>
      <c r="AC56" s="728">
        <f t="shared" si="190"/>
        <v>0.5</v>
      </c>
      <c r="AD56" s="728">
        <f t="shared" si="190"/>
        <v>0.49999999999999994</v>
      </c>
      <c r="AE56" s="728">
        <f t="shared" si="190"/>
        <v>0.49999999999999994</v>
      </c>
      <c r="AF56" s="728">
        <f t="shared" si="190"/>
        <v>0.5</v>
      </c>
      <c r="AG56" s="728">
        <f t="shared" si="190"/>
        <v>0.49999999999999994</v>
      </c>
      <c r="AH56" s="824">
        <f t="shared" si="190"/>
        <v>0.49999999999999994</v>
      </c>
    </row>
    <row r="57" spans="2:34" ht="15.75" thickBot="1">
      <c r="B57" s="794" t="s">
        <v>341</v>
      </c>
      <c r="C57" s="422"/>
      <c r="D57" s="422"/>
      <c r="E57" s="422"/>
      <c r="F57" s="825">
        <f>CAC!$E$49</f>
        <v>6.7794074499907403E-2</v>
      </c>
      <c r="G57" s="826">
        <f>F57</f>
        <v>6.7794074499907403E-2</v>
      </c>
      <c r="H57" s="826">
        <f t="shared" ref="H57:P57" si="191">G57</f>
        <v>6.7794074499907403E-2</v>
      </c>
      <c r="I57" s="826">
        <f t="shared" si="191"/>
        <v>6.7794074499907403E-2</v>
      </c>
      <c r="J57" s="826">
        <f t="shared" si="191"/>
        <v>6.7794074499907403E-2</v>
      </c>
      <c r="K57" s="826">
        <f t="shared" si="191"/>
        <v>6.7794074499907403E-2</v>
      </c>
      <c r="L57" s="826">
        <f t="shared" si="191"/>
        <v>6.7794074499907403E-2</v>
      </c>
      <c r="M57" s="826">
        <f t="shared" si="191"/>
        <v>6.7794074499907403E-2</v>
      </c>
      <c r="N57" s="826">
        <f t="shared" si="191"/>
        <v>6.7794074499907403E-2</v>
      </c>
      <c r="O57" s="826">
        <f t="shared" si="191"/>
        <v>6.7794074499907403E-2</v>
      </c>
      <c r="P57" s="827">
        <f t="shared" si="191"/>
        <v>6.7794074499907403E-2</v>
      </c>
      <c r="T57" s="794" t="s">
        <v>341</v>
      </c>
      <c r="U57" s="422"/>
      <c r="V57" s="422"/>
      <c r="W57" s="422"/>
      <c r="X57" s="829">
        <f>P57</f>
        <v>6.7794074499907403E-2</v>
      </c>
      <c r="Y57" s="826">
        <f t="shared" si="171"/>
        <v>6.7794074499907403E-2</v>
      </c>
      <c r="Z57" s="826">
        <f t="shared" si="171"/>
        <v>6.7794074499907403E-2</v>
      </c>
      <c r="AA57" s="826">
        <f t="shared" si="171"/>
        <v>6.7794074499907403E-2</v>
      </c>
      <c r="AB57" s="826">
        <f t="shared" si="171"/>
        <v>6.7794074499907403E-2</v>
      </c>
      <c r="AC57" s="826">
        <f t="shared" si="171"/>
        <v>6.7794074499907403E-2</v>
      </c>
      <c r="AD57" s="826">
        <f t="shared" si="171"/>
        <v>6.7794074499907403E-2</v>
      </c>
      <c r="AE57" s="826">
        <f t="shared" si="171"/>
        <v>6.7794074499907403E-2</v>
      </c>
      <c r="AF57" s="826">
        <f t="shared" si="171"/>
        <v>6.7794074499907403E-2</v>
      </c>
      <c r="AG57" s="826">
        <f t="shared" si="171"/>
        <v>6.7794074499907403E-2</v>
      </c>
      <c r="AH57" s="827">
        <f t="shared" si="171"/>
        <v>6.7794074499907403E-2</v>
      </c>
    </row>
    <row r="59" spans="2:34">
      <c r="E59" t="s">
        <v>105</v>
      </c>
      <c r="F59">
        <v>15</v>
      </c>
    </row>
  </sheetData>
  <mergeCells count="4">
    <mergeCell ref="B7:E7"/>
    <mergeCell ref="G7:P7"/>
    <mergeCell ref="T7:W7"/>
    <mergeCell ref="Y7:AH7"/>
  </mergeCells>
  <pageMargins left="0.5" right="0.5" top="0.5" bottom="0.5" header="0.5" footer="0.5"/>
  <pageSetup scale="7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7"/>
  <sheetViews>
    <sheetView showGridLines="0" view="pageBreakPreview" zoomScale="90" zoomScaleNormal="100" zoomScaleSheetLayoutView="90" workbookViewId="0"/>
  </sheetViews>
  <sheetFormatPr defaultRowHeight="15"/>
  <cols>
    <col min="1" max="1" width="3.5703125" customWidth="1"/>
    <col min="2" max="2" width="7.5703125" customWidth="1"/>
    <col min="3" max="3" width="20.7109375" customWidth="1"/>
    <col min="4" max="7" width="10.7109375" customWidth="1"/>
    <col min="8" max="8" width="4.7109375" customWidth="1"/>
    <col min="9" max="11" width="8.7109375" customWidth="1"/>
    <col min="12" max="12" width="2.7109375" customWidth="1"/>
  </cols>
  <sheetData>
    <row r="1" spans="2:11" ht="15.75">
      <c r="B1" s="18" t="str">
        <f>Acq_name</f>
        <v>[Acq.Co. Holdings Ltd.]</v>
      </c>
      <c r="K1" s="34" t="str">
        <f>"Exhibit: "&amp;INDEX(TOC!$B$5:$E$136,MATCH($B$3,TOC!$E$5:$E$136,0),COLUMNS(TOC!H5))&amp;M1</f>
        <v>Exhibit: A</v>
      </c>
    </row>
    <row r="2" spans="2:11">
      <c r="B2" s="19" t="str">
        <f>Targ_name</f>
        <v>[ABC Corporation]</v>
      </c>
    </row>
    <row r="3" spans="2:11">
      <c r="B3" s="20" t="str">
        <f>TOC!E36</f>
        <v>Customer Attrition Calculation</v>
      </c>
    </row>
    <row r="4" spans="2:11">
      <c r="B4" s="25" t="str">
        <f>"Valuation as of "&amp;TEXT(Val_date,"DD MMMM YYYY")</f>
        <v>Valuation as of 31 March 2020</v>
      </c>
    </row>
    <row r="5" spans="2:11">
      <c r="B5" s="27" t="str">
        <f>'Key Inputs and Assumptions'!C24</f>
        <v>(in USD ‘000s unless specified otherwise)</v>
      </c>
    </row>
    <row r="6" spans="2:11" s="55" customFormat="1" ht="12.75" thickBot="1"/>
    <row r="7" spans="2:11" s="55" customFormat="1" ht="12">
      <c r="B7" s="836" t="s">
        <v>459</v>
      </c>
      <c r="C7" s="832" t="s">
        <v>458</v>
      </c>
      <c r="D7" s="832">
        <v>2017</v>
      </c>
      <c r="E7" s="832">
        <f>D7+1</f>
        <v>2018</v>
      </c>
      <c r="F7" s="832">
        <f>E7+1</f>
        <v>2019</v>
      </c>
      <c r="G7" s="832">
        <f>F7+1</f>
        <v>2020</v>
      </c>
      <c r="H7" s="832"/>
      <c r="I7" s="832" t="str">
        <f>D7&amp;"-"&amp;E7</f>
        <v>2017-2018</v>
      </c>
      <c r="J7" s="832" t="str">
        <f>E7&amp;"-"&amp;F7</f>
        <v>2018-2019</v>
      </c>
      <c r="K7" s="833" t="str">
        <f>F7&amp;"-"&amp;G7</f>
        <v>2019-2020</v>
      </c>
    </row>
    <row r="8" spans="2:11" s="55" customFormat="1" ht="12">
      <c r="B8" s="837">
        <v>1</v>
      </c>
      <c r="C8" s="834" t="s">
        <v>460</v>
      </c>
      <c r="D8" s="835">
        <v>73871.199999999997</v>
      </c>
      <c r="E8" s="835">
        <v>51406.91</v>
      </c>
      <c r="F8" s="835">
        <v>45300.26</v>
      </c>
      <c r="G8" s="835">
        <v>30535.99</v>
      </c>
      <c r="H8" s="840"/>
      <c r="I8" s="840">
        <f>IF(AND(E8=0,D8=0),0,(IF(AND(E8=0,D8&gt;0),1,(IF(AND(E8&gt;0,D8=0),0,IF(AND(E8&gt;0,D8&gt;0),0,1))))))</f>
        <v>0</v>
      </c>
      <c r="J8" s="840">
        <f>IF(AND(F8=0,E8=0),0,(IF(AND(F8=0,E8&gt;0),1,(IF(AND(F8&gt;0,E8=0),0,IF(AND(F8&gt;0,E8&gt;0),0,1))))))</f>
        <v>0</v>
      </c>
      <c r="K8" s="841">
        <f>IF(AND(G8=0,F8=0),0,(IF(AND(G8=0,F8&gt;0),1,(IF(AND(G8&gt;0,F8=0),0,IF(AND(G8&gt;0,F8&gt;0),0,1))))))</f>
        <v>0</v>
      </c>
    </row>
    <row r="9" spans="2:11" s="55" customFormat="1" ht="12">
      <c r="B9" s="837">
        <v>2</v>
      </c>
      <c r="C9" s="834" t="s">
        <v>461</v>
      </c>
      <c r="D9" s="835">
        <v>44349.72</v>
      </c>
      <c r="E9" s="835">
        <v>35786.97</v>
      </c>
      <c r="F9" s="835">
        <v>137491.37</v>
      </c>
      <c r="G9" s="835">
        <v>94798.37</v>
      </c>
      <c r="H9" s="840"/>
      <c r="I9" s="840">
        <f>IF(AND(E9=0,D9=0),0,(IF(AND(E9=0,D9&gt;0),1,(IF(AND(E9&gt;0,D9=0),0,IF(AND(E9&gt;0,D9&gt;0),0,1))))))</f>
        <v>0</v>
      </c>
      <c r="J9" s="840">
        <f>IF(AND(F9=0,E9=0),0,(IF(AND(F9=0,E9&gt;0),1,(IF(AND(F9&gt;0,E9=0),0,IF(AND(F9&gt;0,E9&gt;0),0,1))))))</f>
        <v>0</v>
      </c>
      <c r="K9" s="841">
        <f>IF(AND(G9=0,F9=0),0,(IF(AND(G9=0,F9&gt;0),1,(IF(AND(G9&gt;0,F9=0),0,IF(AND(G9&gt;0,F9&gt;0),0,1))))))</f>
        <v>0</v>
      </c>
    </row>
    <row r="10" spans="2:11" s="55" customFormat="1" ht="12">
      <c r="B10" s="837">
        <v>3</v>
      </c>
      <c r="C10" s="834" t="s">
        <v>462</v>
      </c>
      <c r="D10" s="835">
        <v>0</v>
      </c>
      <c r="E10" s="835">
        <v>0</v>
      </c>
      <c r="F10" s="835">
        <v>0</v>
      </c>
      <c r="G10" s="835">
        <v>41951.41</v>
      </c>
      <c r="H10" s="840"/>
      <c r="I10" s="840">
        <f>IF(AND(E10=0,D10=0),0,(IF(AND(E10=0,D10&gt;0),1,(IF(AND(E10&gt;0,D10=0),0,IF(AND(E10&gt;0,D10&gt;0),0,1))))))</f>
        <v>0</v>
      </c>
      <c r="J10" s="840">
        <f>IF(AND(F10=0,E10=0),0,(IF(AND(F10=0,E10&gt;0),1,(IF(AND(F10&gt;0,E10=0),0,IF(AND(F10&gt;0,E10&gt;0),0,1))))))</f>
        <v>0</v>
      </c>
      <c r="K10" s="841">
        <f>IF(AND(G10=0,F10=0),0,(IF(AND(G10=0,F10&gt;0),1,(IF(AND(G10&gt;0,F10=0),0,IF(AND(G10&gt;0,F10&gt;0),0,1))))))</f>
        <v>0</v>
      </c>
    </row>
    <row r="11" spans="2:11" s="55" customFormat="1" ht="12">
      <c r="B11" s="837">
        <v>4</v>
      </c>
      <c r="C11" s="834" t="s">
        <v>463</v>
      </c>
      <c r="D11" s="835">
        <v>48133.56</v>
      </c>
      <c r="E11" s="835">
        <v>50116.49</v>
      </c>
      <c r="F11" s="835">
        <v>11114.27</v>
      </c>
      <c r="G11" s="835">
        <v>-12.33</v>
      </c>
      <c r="H11" s="840"/>
      <c r="I11" s="840">
        <f>IF(AND(E11=0,D11=0),0,(IF(AND(E11=0,D11&gt;0),1,(IF(AND(E11&gt;0,D11=0),0,IF(AND(E11&gt;0,D11&gt;0),0,1))))))</f>
        <v>0</v>
      </c>
      <c r="J11" s="840">
        <f>IF(AND(F11=0,E11=0),0,(IF(AND(F11=0,E11&gt;0),1,(IF(AND(F11&gt;0,E11=0),0,IF(AND(F11&gt;0,E11&gt;0),0,1))))))</f>
        <v>0</v>
      </c>
      <c r="K11" s="841">
        <f>IF(AND(G11=0,F11=0),0,(IF(AND(G11=0,F11&gt;0),1,(IF(AND(G11&gt;0,F11=0),0,IF(AND(G11&gt;0,F11&gt;0),0,1))))))</f>
        <v>1</v>
      </c>
    </row>
    <row r="12" spans="2:11" s="55" customFormat="1" ht="12">
      <c r="B12" s="837">
        <v>5</v>
      </c>
      <c r="C12" s="834" t="s">
        <v>464</v>
      </c>
      <c r="D12" s="835">
        <v>20.39</v>
      </c>
      <c r="E12" s="835">
        <v>117.56</v>
      </c>
      <c r="F12" s="835">
        <v>1956.87</v>
      </c>
      <c r="G12" s="835">
        <v>-97.27</v>
      </c>
      <c r="H12" s="840"/>
      <c r="I12" s="840">
        <f>IF(AND(E12=0,D12=0),0,(IF(AND(E12=0,D12&gt;0),1,(IF(AND(E12&gt;0,D12=0),0,IF(AND(E12&gt;0,D12&gt;0),0,1))))))</f>
        <v>0</v>
      </c>
      <c r="J12" s="840">
        <f>IF(AND(F12=0,E12=0),0,(IF(AND(F12=0,E12&gt;0),1,(IF(AND(F12&gt;0,E12=0),0,IF(AND(F12&gt;0,E12&gt;0),0,1))))))</f>
        <v>0</v>
      </c>
      <c r="K12" s="841">
        <f>IF(AND(G12=0,F12=0),0,(IF(AND(G12=0,F12&gt;0),1,(IF(AND(G12&gt;0,F12=0),0,IF(AND(G12&gt;0,F12&gt;0),0,1))))))</f>
        <v>1</v>
      </c>
    </row>
    <row r="13" spans="2:11" s="55" customFormat="1" ht="12">
      <c r="B13" s="837">
        <v>6</v>
      </c>
      <c r="C13" s="834" t="s">
        <v>465</v>
      </c>
      <c r="D13" s="835">
        <v>15053.57</v>
      </c>
      <c r="E13" s="835">
        <v>14034.03</v>
      </c>
      <c r="F13" s="835">
        <v>14478.39</v>
      </c>
      <c r="G13" s="835">
        <v>26484.37</v>
      </c>
      <c r="H13" s="840"/>
      <c r="I13" s="840">
        <f>IF(AND(E13=0,D13=0),0,(IF(AND(E13=0,D13&gt;0),1,(IF(AND(E13&gt;0,D13=0),0,IF(AND(E13&gt;0,D13&gt;0),0,1))))))</f>
        <v>0</v>
      </c>
      <c r="J13" s="840">
        <f>IF(AND(F13=0,E13=0),0,(IF(AND(F13=0,E13&gt;0),1,(IF(AND(F13&gt;0,E13=0),0,IF(AND(F13&gt;0,E13&gt;0),0,1))))))</f>
        <v>0</v>
      </c>
      <c r="K13" s="841">
        <f>IF(AND(G13=0,F13=0),0,(IF(AND(G13=0,F13&gt;0),1,(IF(AND(G13&gt;0,F13=0),0,IF(AND(G13&gt;0,F13&gt;0),0,1))))))</f>
        <v>0</v>
      </c>
    </row>
    <row r="14" spans="2:11" s="55" customFormat="1" ht="12">
      <c r="B14" s="837">
        <v>7</v>
      </c>
      <c r="C14" s="834" t="s">
        <v>466</v>
      </c>
      <c r="D14" s="835">
        <v>256.5</v>
      </c>
      <c r="E14" s="835">
        <v>135326.6</v>
      </c>
      <c r="F14" s="835">
        <v>181333.01</v>
      </c>
      <c r="G14" s="835">
        <v>317122.78000000003</v>
      </c>
      <c r="H14" s="840"/>
      <c r="I14" s="840">
        <f>IF(AND(E14=0,D14=0),0,(IF(AND(E14=0,D14&gt;0),1,(IF(AND(E14&gt;0,D14=0),0,IF(AND(E14&gt;0,D14&gt;0),0,1))))))</f>
        <v>0</v>
      </c>
      <c r="J14" s="840">
        <f>IF(AND(F14=0,E14=0),0,(IF(AND(F14=0,E14&gt;0),1,(IF(AND(F14&gt;0,E14=0),0,IF(AND(F14&gt;0,E14&gt;0),0,1))))))</f>
        <v>0</v>
      </c>
      <c r="K14" s="841">
        <f>IF(AND(G14=0,F14=0),0,(IF(AND(G14=0,F14&gt;0),1,(IF(AND(G14&gt;0,F14=0),0,IF(AND(G14&gt;0,F14&gt;0),0,1))))))</f>
        <v>0</v>
      </c>
    </row>
    <row r="15" spans="2:11" s="55" customFormat="1" ht="12">
      <c r="B15" s="837">
        <v>8</v>
      </c>
      <c r="C15" s="834" t="s">
        <v>467</v>
      </c>
      <c r="D15" s="835">
        <v>522772.03</v>
      </c>
      <c r="E15" s="835">
        <v>738536.72</v>
      </c>
      <c r="F15" s="835">
        <v>796915.85</v>
      </c>
      <c r="G15" s="835">
        <v>1234317.93</v>
      </c>
      <c r="H15" s="840"/>
      <c r="I15" s="840">
        <f>IF(AND(E15=0,D15=0),0,(IF(AND(E15=0,D15&gt;0),1,(IF(AND(E15&gt;0,D15=0),0,IF(AND(E15&gt;0,D15&gt;0),0,1))))))</f>
        <v>0</v>
      </c>
      <c r="J15" s="840">
        <f>IF(AND(F15=0,E15=0),0,(IF(AND(F15=0,E15&gt;0),1,(IF(AND(F15&gt;0,E15=0),0,IF(AND(F15&gt;0,E15&gt;0),0,1))))))</f>
        <v>0</v>
      </c>
      <c r="K15" s="841">
        <f>IF(AND(G15=0,F15=0),0,(IF(AND(G15=0,F15&gt;0),1,(IF(AND(G15&gt;0,F15=0),0,IF(AND(G15&gt;0,F15&gt;0),0,1))))))</f>
        <v>0</v>
      </c>
    </row>
    <row r="16" spans="2:11" s="55" customFormat="1" ht="12">
      <c r="B16" s="837">
        <v>9</v>
      </c>
      <c r="C16" s="834" t="s">
        <v>468</v>
      </c>
      <c r="D16" s="835">
        <v>98259.14</v>
      </c>
      <c r="E16" s="835">
        <v>128824.22</v>
      </c>
      <c r="F16" s="835">
        <v>137805.4</v>
      </c>
      <c r="G16" s="835">
        <v>77002.5</v>
      </c>
      <c r="H16" s="840"/>
      <c r="I16" s="840">
        <f>IF(AND(E16=0,D16=0),0,(IF(AND(E16=0,D16&gt;0),1,(IF(AND(E16&gt;0,D16=0),0,IF(AND(E16&gt;0,D16&gt;0),0,1))))))</f>
        <v>0</v>
      </c>
      <c r="J16" s="840">
        <f>IF(AND(F16=0,E16=0),0,(IF(AND(F16=0,E16&gt;0),1,(IF(AND(F16&gt;0,E16=0),0,IF(AND(F16&gt;0,E16&gt;0),0,1))))))</f>
        <v>0</v>
      </c>
      <c r="K16" s="841">
        <f>IF(AND(G16=0,F16=0),0,(IF(AND(G16=0,F16&gt;0),1,(IF(AND(G16&gt;0,F16=0),0,IF(AND(G16&gt;0,F16&gt;0),0,1))))))</f>
        <v>0</v>
      </c>
    </row>
    <row r="17" spans="2:11" s="55" customFormat="1" ht="12">
      <c r="B17" s="837">
        <v>10</v>
      </c>
      <c r="C17" s="834" t="s">
        <v>469</v>
      </c>
      <c r="D17" s="835">
        <v>159323.67000000001</v>
      </c>
      <c r="E17" s="835">
        <v>139626.85999999999</v>
      </c>
      <c r="F17" s="835">
        <v>164771.87</v>
      </c>
      <c r="G17" s="835">
        <v>593092.04</v>
      </c>
      <c r="H17" s="840"/>
      <c r="I17" s="840">
        <f>IF(AND(E17=0,D17=0),0,(IF(AND(E17=0,D17&gt;0),1,(IF(AND(E17&gt;0,D17=0),0,IF(AND(E17&gt;0,D17&gt;0),0,1))))))</f>
        <v>0</v>
      </c>
      <c r="J17" s="840">
        <f>IF(AND(F17=0,E17=0),0,(IF(AND(F17=0,E17&gt;0),1,(IF(AND(F17&gt;0,E17=0),0,IF(AND(F17&gt;0,E17&gt;0),0,1))))))</f>
        <v>0</v>
      </c>
      <c r="K17" s="841">
        <f>IF(AND(G17=0,F17=0),0,(IF(AND(G17=0,F17&gt;0),1,(IF(AND(G17&gt;0,F17=0),0,IF(AND(G17&gt;0,F17&gt;0),0,1))))))</f>
        <v>0</v>
      </c>
    </row>
    <row r="18" spans="2:11" s="55" customFormat="1" ht="12">
      <c r="B18" s="837">
        <v>11</v>
      </c>
      <c r="C18" s="834" t="s">
        <v>470</v>
      </c>
      <c r="D18" s="835">
        <v>0</v>
      </c>
      <c r="E18" s="835">
        <v>0</v>
      </c>
      <c r="F18" s="835">
        <v>0</v>
      </c>
      <c r="G18" s="835">
        <v>89293.65</v>
      </c>
      <c r="H18" s="840"/>
      <c r="I18" s="840">
        <f>IF(AND(E18=0,D18=0),0,(IF(AND(E18=0,D18&gt;0),1,(IF(AND(E18&gt;0,D18=0),0,IF(AND(E18&gt;0,D18&gt;0),0,1))))))</f>
        <v>0</v>
      </c>
      <c r="J18" s="840">
        <f>IF(AND(F18=0,E18=0),0,(IF(AND(F18=0,E18&gt;0),1,(IF(AND(F18&gt;0,E18=0),0,IF(AND(F18&gt;0,E18&gt;0),0,1))))))</f>
        <v>0</v>
      </c>
      <c r="K18" s="841">
        <f>IF(AND(G18=0,F18=0),0,(IF(AND(G18=0,F18&gt;0),1,(IF(AND(G18&gt;0,F18=0),0,IF(AND(G18&gt;0,F18&gt;0),0,1))))))</f>
        <v>0</v>
      </c>
    </row>
    <row r="19" spans="2:11" s="55" customFormat="1" ht="12">
      <c r="B19" s="837">
        <v>12</v>
      </c>
      <c r="C19" s="834" t="s">
        <v>471</v>
      </c>
      <c r="D19" s="835">
        <v>0</v>
      </c>
      <c r="E19" s="835">
        <v>0</v>
      </c>
      <c r="F19" s="835">
        <v>31658.58</v>
      </c>
      <c r="G19" s="835">
        <v>10373.5</v>
      </c>
      <c r="H19" s="840"/>
      <c r="I19" s="840">
        <f>IF(AND(E19=0,D19=0),0,(IF(AND(E19=0,D19&gt;0),1,(IF(AND(E19&gt;0,D19=0),0,IF(AND(E19&gt;0,D19&gt;0),0,1))))))</f>
        <v>0</v>
      </c>
      <c r="J19" s="840">
        <f>IF(AND(F19=0,E19=0),0,(IF(AND(F19=0,E19&gt;0),1,(IF(AND(F19&gt;0,E19=0),0,IF(AND(F19&gt;0,E19&gt;0),0,1))))))</f>
        <v>0</v>
      </c>
      <c r="K19" s="841">
        <f>IF(AND(G19=0,F19=0),0,(IF(AND(G19=0,F19&gt;0),1,(IF(AND(G19&gt;0,F19=0),0,IF(AND(G19&gt;0,F19&gt;0),0,1))))))</f>
        <v>0</v>
      </c>
    </row>
    <row r="20" spans="2:11" s="55" customFormat="1" ht="12">
      <c r="B20" s="837">
        <v>13</v>
      </c>
      <c r="C20" s="834" t="s">
        <v>472</v>
      </c>
      <c r="D20" s="835">
        <v>68436.11</v>
      </c>
      <c r="E20" s="835">
        <v>319845.45</v>
      </c>
      <c r="F20" s="835">
        <v>488561.96</v>
      </c>
      <c r="G20" s="835">
        <v>290276.15000000002</v>
      </c>
      <c r="H20" s="840"/>
      <c r="I20" s="840">
        <f>IF(AND(E20=0,D20=0),0,(IF(AND(E20=0,D20&gt;0),1,(IF(AND(E20&gt;0,D20=0),0,IF(AND(E20&gt;0,D20&gt;0),0,1))))))</f>
        <v>0</v>
      </c>
      <c r="J20" s="840">
        <f>IF(AND(F20=0,E20=0),0,(IF(AND(F20=0,E20&gt;0),1,(IF(AND(F20&gt;0,E20=0),0,IF(AND(F20&gt;0,E20&gt;0),0,1))))))</f>
        <v>0</v>
      </c>
      <c r="K20" s="841">
        <f>IF(AND(G20=0,F20=0),0,(IF(AND(G20=0,F20&gt;0),1,(IF(AND(G20&gt;0,F20=0),0,IF(AND(G20&gt;0,F20&gt;0),0,1))))))</f>
        <v>0</v>
      </c>
    </row>
    <row r="21" spans="2:11" s="55" customFormat="1" ht="12">
      <c r="B21" s="837">
        <v>14</v>
      </c>
      <c r="C21" s="834" t="s">
        <v>473</v>
      </c>
      <c r="D21" s="835">
        <v>5820920.3799999999</v>
      </c>
      <c r="E21" s="835">
        <v>6791322.1200000001</v>
      </c>
      <c r="F21" s="835">
        <v>7892795.4699999997</v>
      </c>
      <c r="G21" s="835">
        <v>8367011.6699999999</v>
      </c>
      <c r="H21" s="840"/>
      <c r="I21" s="840">
        <f>IF(AND(E21=0,D21=0),0,(IF(AND(E21=0,D21&gt;0),1,(IF(AND(E21&gt;0,D21=0),0,IF(AND(E21&gt;0,D21&gt;0),0,1))))))</f>
        <v>0</v>
      </c>
      <c r="J21" s="840">
        <f>IF(AND(F21=0,E21=0),0,(IF(AND(F21=0,E21&gt;0),1,(IF(AND(F21&gt;0,E21=0),0,IF(AND(F21&gt;0,E21&gt;0),0,1))))))</f>
        <v>0</v>
      </c>
      <c r="K21" s="841">
        <f>IF(AND(G21=0,F21=0),0,(IF(AND(G21=0,F21&gt;0),1,(IF(AND(G21&gt;0,F21=0),0,IF(AND(G21&gt;0,F21&gt;0),0,1))))))</f>
        <v>0</v>
      </c>
    </row>
    <row r="22" spans="2:11" s="55" customFormat="1" ht="12">
      <c r="B22" s="837">
        <v>15</v>
      </c>
      <c r="C22" s="834" t="s">
        <v>474</v>
      </c>
      <c r="D22" s="835">
        <v>8310.4599999999991</v>
      </c>
      <c r="E22" s="835">
        <v>11950</v>
      </c>
      <c r="F22" s="835">
        <v>1105.6300000000001</v>
      </c>
      <c r="G22" s="835">
        <v>3557.92</v>
      </c>
      <c r="H22" s="840"/>
      <c r="I22" s="840">
        <f>IF(AND(E22=0,D22=0),0,(IF(AND(E22=0,D22&gt;0),1,(IF(AND(E22&gt;0,D22=0),0,IF(AND(E22&gt;0,D22&gt;0),0,1))))))</f>
        <v>0</v>
      </c>
      <c r="J22" s="840">
        <f>IF(AND(F22=0,E22=0),0,(IF(AND(F22=0,E22&gt;0),1,(IF(AND(F22&gt;0,E22=0),0,IF(AND(F22&gt;0,E22&gt;0),0,1))))))</f>
        <v>0</v>
      </c>
      <c r="K22" s="841">
        <f>IF(AND(G22=0,F22=0),0,(IF(AND(G22=0,F22&gt;0),1,(IF(AND(G22&gt;0,F22=0),0,IF(AND(G22&gt;0,F22&gt;0),0,1))))))</f>
        <v>0</v>
      </c>
    </row>
    <row r="23" spans="2:11" s="55" customFormat="1" ht="12">
      <c r="B23" s="837">
        <v>16</v>
      </c>
      <c r="C23" s="834" t="s">
        <v>475</v>
      </c>
      <c r="D23" s="835">
        <v>308145</v>
      </c>
      <c r="E23" s="835">
        <v>194296.05</v>
      </c>
      <c r="F23" s="835">
        <v>149107.43</v>
      </c>
      <c r="G23" s="835">
        <v>186179.81</v>
      </c>
      <c r="H23" s="840"/>
      <c r="I23" s="840">
        <f>IF(AND(E23=0,D23=0),0,(IF(AND(E23=0,D23&gt;0),1,(IF(AND(E23&gt;0,D23=0),0,IF(AND(E23&gt;0,D23&gt;0),0,1))))))</f>
        <v>0</v>
      </c>
      <c r="J23" s="840">
        <f>IF(AND(F23=0,E23=0),0,(IF(AND(F23=0,E23&gt;0),1,(IF(AND(F23&gt;0,E23=0),0,IF(AND(F23&gt;0,E23&gt;0),0,1))))))</f>
        <v>0</v>
      </c>
      <c r="K23" s="841">
        <f>IF(AND(G23=0,F23=0),0,(IF(AND(G23=0,F23&gt;0),1,(IF(AND(G23&gt;0,F23=0),0,IF(AND(G23&gt;0,F23&gt;0),0,1))))))</f>
        <v>0</v>
      </c>
    </row>
    <row r="24" spans="2:11" s="55" customFormat="1" ht="12">
      <c r="B24" s="837">
        <v>17</v>
      </c>
      <c r="C24" s="834" t="s">
        <v>476</v>
      </c>
      <c r="D24" s="835">
        <v>0</v>
      </c>
      <c r="E24" s="835">
        <v>0</v>
      </c>
      <c r="F24" s="835">
        <v>0</v>
      </c>
      <c r="G24" s="835">
        <v>0</v>
      </c>
      <c r="H24" s="840"/>
      <c r="I24" s="840">
        <f>IF(AND(E24=0,D24=0),0,(IF(AND(E24=0,D24&gt;0),1,(IF(AND(E24&gt;0,D24=0),0,IF(AND(E24&gt;0,D24&gt;0),0,1))))))</f>
        <v>0</v>
      </c>
      <c r="J24" s="840">
        <f>IF(AND(F24=0,E24=0),0,(IF(AND(F24=0,E24&gt;0),1,(IF(AND(F24&gt;0,E24=0),0,IF(AND(F24&gt;0,E24&gt;0),0,1))))))</f>
        <v>0</v>
      </c>
      <c r="K24" s="841">
        <f>IF(AND(G24=0,F24=0),0,(IF(AND(G24=0,F24&gt;0),1,(IF(AND(G24&gt;0,F24=0),0,IF(AND(G24&gt;0,F24&gt;0),0,1))))))</f>
        <v>0</v>
      </c>
    </row>
    <row r="25" spans="2:11" s="55" customFormat="1" ht="12">
      <c r="B25" s="837">
        <v>18</v>
      </c>
      <c r="C25" s="834" t="s">
        <v>477</v>
      </c>
      <c r="D25" s="835">
        <v>255223.41</v>
      </c>
      <c r="E25" s="835">
        <v>369532.55</v>
      </c>
      <c r="F25" s="835">
        <v>360161.6</v>
      </c>
      <c r="G25" s="835">
        <v>272872.52</v>
      </c>
      <c r="H25" s="840"/>
      <c r="I25" s="840">
        <f>IF(AND(E25=0,D25=0),0,(IF(AND(E25=0,D25&gt;0),1,(IF(AND(E25&gt;0,D25=0),0,IF(AND(E25&gt;0,D25&gt;0),0,1))))))</f>
        <v>0</v>
      </c>
      <c r="J25" s="840">
        <f>IF(AND(F25=0,E25=0),0,(IF(AND(F25=0,E25&gt;0),1,(IF(AND(F25&gt;0,E25=0),0,IF(AND(F25&gt;0,E25&gt;0),0,1))))))</f>
        <v>0</v>
      </c>
      <c r="K25" s="841">
        <f>IF(AND(G25=0,F25=0),0,(IF(AND(G25=0,F25&gt;0),1,(IF(AND(G25&gt;0,F25=0),0,IF(AND(G25&gt;0,F25&gt;0),0,1))))))</f>
        <v>0</v>
      </c>
    </row>
    <row r="26" spans="2:11" s="55" customFormat="1" ht="12">
      <c r="B26" s="837">
        <v>19</v>
      </c>
      <c r="C26" s="834" t="s">
        <v>478</v>
      </c>
      <c r="D26" s="835">
        <v>0</v>
      </c>
      <c r="E26" s="835">
        <v>0</v>
      </c>
      <c r="F26" s="835">
        <v>361017.49</v>
      </c>
      <c r="G26" s="835">
        <v>714139.32</v>
      </c>
      <c r="H26" s="840"/>
      <c r="I26" s="840">
        <f>IF(AND(E26=0,D26=0),0,(IF(AND(E26=0,D26&gt;0),1,(IF(AND(E26&gt;0,D26=0),0,IF(AND(E26&gt;0,D26&gt;0),0,1))))))</f>
        <v>0</v>
      </c>
      <c r="J26" s="840">
        <f>IF(AND(F26=0,E26=0),0,(IF(AND(F26=0,E26&gt;0),1,(IF(AND(F26&gt;0,E26=0),0,IF(AND(F26&gt;0,E26&gt;0),0,1))))))</f>
        <v>0</v>
      </c>
      <c r="K26" s="841">
        <f>IF(AND(G26=0,F26=0),0,(IF(AND(G26=0,F26&gt;0),1,(IF(AND(G26&gt;0,F26=0),0,IF(AND(G26&gt;0,F26&gt;0),0,1))))))</f>
        <v>0</v>
      </c>
    </row>
    <row r="27" spans="2:11" s="55" customFormat="1" ht="12">
      <c r="B27" s="837">
        <v>20</v>
      </c>
      <c r="C27" s="834" t="s">
        <v>479</v>
      </c>
      <c r="D27" s="835">
        <v>109130.47</v>
      </c>
      <c r="E27" s="835">
        <v>126944.71</v>
      </c>
      <c r="F27" s="835">
        <v>96837.52</v>
      </c>
      <c r="G27" s="835">
        <v>61318.43</v>
      </c>
      <c r="H27" s="840"/>
      <c r="I27" s="840">
        <f>IF(AND(E27=0,D27=0),0,(IF(AND(E27=0,D27&gt;0),1,(IF(AND(E27&gt;0,D27=0),0,IF(AND(E27&gt;0,D27&gt;0),0,1))))))</f>
        <v>0</v>
      </c>
      <c r="J27" s="840">
        <f>IF(AND(F27=0,E27=0),0,(IF(AND(F27=0,E27&gt;0),1,(IF(AND(F27&gt;0,E27=0),0,IF(AND(F27&gt;0,E27&gt;0),0,1))))))</f>
        <v>0</v>
      </c>
      <c r="K27" s="841">
        <f>IF(AND(G27=0,F27=0),0,(IF(AND(G27=0,F27&gt;0),1,(IF(AND(G27&gt;0,F27=0),0,IF(AND(G27&gt;0,F27&gt;0),0,1))))))</f>
        <v>0</v>
      </c>
    </row>
    <row r="28" spans="2:11" s="55" customFormat="1" ht="12">
      <c r="B28" s="837">
        <v>21</v>
      </c>
      <c r="C28" s="834" t="s">
        <v>480</v>
      </c>
      <c r="D28" s="835">
        <v>0</v>
      </c>
      <c r="E28" s="835">
        <v>0</v>
      </c>
      <c r="F28" s="835">
        <v>0</v>
      </c>
      <c r="G28" s="835">
        <v>51000</v>
      </c>
      <c r="H28" s="840"/>
      <c r="I28" s="840">
        <f>IF(AND(E28=0,D28=0),0,(IF(AND(E28=0,D28&gt;0),1,(IF(AND(E28&gt;0,D28=0),0,IF(AND(E28&gt;0,D28&gt;0),0,1))))))</f>
        <v>0</v>
      </c>
      <c r="J28" s="840">
        <f>IF(AND(F28=0,E28=0),0,(IF(AND(F28=0,E28&gt;0),1,(IF(AND(F28&gt;0,E28=0),0,IF(AND(F28&gt;0,E28&gt;0),0,1))))))</f>
        <v>0</v>
      </c>
      <c r="K28" s="841">
        <f>IF(AND(G28=0,F28=0),0,(IF(AND(G28=0,F28&gt;0),1,(IF(AND(G28&gt;0,F28=0),0,IF(AND(G28&gt;0,F28&gt;0),0,1))))))</f>
        <v>0</v>
      </c>
    </row>
    <row r="29" spans="2:11" s="55" customFormat="1" ht="12">
      <c r="B29" s="837">
        <v>22</v>
      </c>
      <c r="C29" s="834" t="s">
        <v>481</v>
      </c>
      <c r="D29" s="835">
        <v>109807.34</v>
      </c>
      <c r="E29" s="835">
        <v>85976.14</v>
      </c>
      <c r="F29" s="835">
        <v>289862.46000000002</v>
      </c>
      <c r="G29" s="835">
        <v>1262198.57</v>
      </c>
      <c r="H29" s="840"/>
      <c r="I29" s="840">
        <f>IF(AND(E29=0,D29=0),0,(IF(AND(E29=0,D29&gt;0),1,(IF(AND(E29&gt;0,D29=0),0,IF(AND(E29&gt;0,D29&gt;0),0,1))))))</f>
        <v>0</v>
      </c>
      <c r="J29" s="840">
        <f>IF(AND(F29=0,E29=0),0,(IF(AND(F29=0,E29&gt;0),1,(IF(AND(F29&gt;0,E29=0),0,IF(AND(F29&gt;0,E29&gt;0),0,1))))))</f>
        <v>0</v>
      </c>
      <c r="K29" s="841">
        <f>IF(AND(G29=0,F29=0),0,(IF(AND(G29=0,F29&gt;0),1,(IF(AND(G29&gt;0,F29=0),0,IF(AND(G29&gt;0,F29&gt;0),0,1))))))</f>
        <v>0</v>
      </c>
    </row>
    <row r="30" spans="2:11" s="55" customFormat="1" ht="12">
      <c r="B30" s="837">
        <v>23</v>
      </c>
      <c r="C30" s="834" t="s">
        <v>482</v>
      </c>
      <c r="D30" s="835">
        <v>46838.3</v>
      </c>
      <c r="E30" s="835">
        <v>37491.910000000003</v>
      </c>
      <c r="F30" s="835">
        <v>41388.89</v>
      </c>
      <c r="G30" s="835">
        <v>38060.67</v>
      </c>
      <c r="H30" s="840"/>
      <c r="I30" s="840">
        <f>IF(AND(E30=0,D30=0),0,(IF(AND(E30=0,D30&gt;0),1,(IF(AND(E30&gt;0,D30=0),0,IF(AND(E30&gt;0,D30&gt;0),0,1))))))</f>
        <v>0</v>
      </c>
      <c r="J30" s="840">
        <f>IF(AND(F30=0,E30=0),0,(IF(AND(F30=0,E30&gt;0),1,(IF(AND(F30&gt;0,E30=0),0,IF(AND(F30&gt;0,E30&gt;0),0,1))))))</f>
        <v>0</v>
      </c>
      <c r="K30" s="841">
        <f>IF(AND(G30=0,F30=0),0,(IF(AND(G30=0,F30&gt;0),1,(IF(AND(G30&gt;0,F30=0),0,IF(AND(G30&gt;0,F30&gt;0),0,1))))))</f>
        <v>0</v>
      </c>
    </row>
    <row r="31" spans="2:11" s="55" customFormat="1" ht="12">
      <c r="B31" s="837">
        <v>24</v>
      </c>
      <c r="C31" s="834" t="s">
        <v>483</v>
      </c>
      <c r="D31" s="835">
        <v>99505.65</v>
      </c>
      <c r="E31" s="835">
        <v>63190.68</v>
      </c>
      <c r="F31" s="835">
        <v>48386.75</v>
      </c>
      <c r="G31" s="835">
        <v>4185.75</v>
      </c>
      <c r="H31" s="840"/>
      <c r="I31" s="840">
        <f>IF(AND(E31=0,D31=0),0,(IF(AND(E31=0,D31&gt;0),1,(IF(AND(E31&gt;0,D31=0),0,IF(AND(E31&gt;0,D31&gt;0),0,1))))))</f>
        <v>0</v>
      </c>
      <c r="J31" s="840">
        <f>IF(AND(F31=0,E31=0),0,(IF(AND(F31=0,E31&gt;0),1,(IF(AND(F31&gt;0,E31=0),0,IF(AND(F31&gt;0,E31&gt;0),0,1))))))</f>
        <v>0</v>
      </c>
      <c r="K31" s="841">
        <f>IF(AND(G31=0,F31=0),0,(IF(AND(G31=0,F31&gt;0),1,(IF(AND(G31&gt;0,F31=0),0,IF(AND(G31&gt;0,F31&gt;0),0,1))))))</f>
        <v>0</v>
      </c>
    </row>
    <row r="32" spans="2:11" s="55" customFormat="1" ht="12">
      <c r="B32" s="837">
        <v>25</v>
      </c>
      <c r="C32" s="834" t="s">
        <v>484</v>
      </c>
      <c r="D32" s="835">
        <v>22.5</v>
      </c>
      <c r="E32" s="835">
        <v>0</v>
      </c>
      <c r="F32" s="835">
        <v>0</v>
      </c>
      <c r="G32" s="835">
        <v>0</v>
      </c>
      <c r="H32" s="840"/>
      <c r="I32" s="840">
        <f>IF(AND(E32=0,D32=0),0,(IF(AND(E32=0,D32&gt;0),1,(IF(AND(E32&gt;0,D32=0),0,IF(AND(E32&gt;0,D32&gt;0),0,1))))))</f>
        <v>1</v>
      </c>
      <c r="J32" s="840">
        <f>IF(AND(F32=0,E32=0),0,(IF(AND(F32=0,E32&gt;0),1,(IF(AND(F32&gt;0,E32=0),0,IF(AND(F32&gt;0,E32&gt;0),0,1))))))</f>
        <v>0</v>
      </c>
      <c r="K32" s="841">
        <f>IF(AND(G32=0,F32=0),0,(IF(AND(G32=0,F32&gt;0),1,(IF(AND(G32&gt;0,F32=0),0,IF(AND(G32&gt;0,F32&gt;0),0,1))))))</f>
        <v>0</v>
      </c>
    </row>
    <row r="33" spans="2:11" s="55" customFormat="1" ht="12">
      <c r="B33" s="837">
        <v>26</v>
      </c>
      <c r="C33" s="834" t="s">
        <v>485</v>
      </c>
      <c r="D33" s="835">
        <v>0</v>
      </c>
      <c r="E33" s="835">
        <v>0</v>
      </c>
      <c r="F33" s="835">
        <v>0</v>
      </c>
      <c r="G33" s="835">
        <v>0</v>
      </c>
      <c r="H33" s="840"/>
      <c r="I33" s="840">
        <f>IF(AND(E33=0,D33=0),0,(IF(AND(E33=0,D33&gt;0),1,(IF(AND(E33&gt;0,D33=0),0,IF(AND(E33&gt;0,D33&gt;0),0,1))))))</f>
        <v>0</v>
      </c>
      <c r="J33" s="840">
        <f>IF(AND(F33=0,E33=0),0,(IF(AND(F33=0,E33&gt;0),1,(IF(AND(F33&gt;0,E33=0),0,IF(AND(F33&gt;0,E33&gt;0),0,1))))))</f>
        <v>0</v>
      </c>
      <c r="K33" s="841">
        <f>IF(AND(G33=0,F33=0),0,(IF(AND(G33=0,F33&gt;0),1,(IF(AND(G33&gt;0,F33=0),0,IF(AND(G33&gt;0,F33&gt;0),0,1))))))</f>
        <v>0</v>
      </c>
    </row>
    <row r="34" spans="2:11" s="55" customFormat="1" ht="12">
      <c r="B34" s="837">
        <v>27</v>
      </c>
      <c r="C34" s="834" t="s">
        <v>486</v>
      </c>
      <c r="D34" s="835">
        <v>0</v>
      </c>
      <c r="E34" s="835">
        <v>0</v>
      </c>
      <c r="F34" s="835">
        <v>0</v>
      </c>
      <c r="G34" s="835">
        <v>0</v>
      </c>
      <c r="H34" s="840"/>
      <c r="I34" s="840">
        <f>IF(AND(E34=0,D34=0),0,(IF(AND(E34=0,D34&gt;0),1,(IF(AND(E34&gt;0,D34=0),0,IF(AND(E34&gt;0,D34&gt;0),0,1))))))</f>
        <v>0</v>
      </c>
      <c r="J34" s="840">
        <f>IF(AND(F34=0,E34=0),0,(IF(AND(F34=0,E34&gt;0),1,(IF(AND(F34&gt;0,E34=0),0,IF(AND(F34&gt;0,E34&gt;0),0,1))))))</f>
        <v>0</v>
      </c>
      <c r="K34" s="841">
        <f>IF(AND(G34=0,F34=0),0,(IF(AND(G34=0,F34&gt;0),1,(IF(AND(G34&gt;0,F34=0),0,IF(AND(G34&gt;0,F34&gt;0),0,1))))))</f>
        <v>0</v>
      </c>
    </row>
    <row r="35" spans="2:11" s="55" customFormat="1" ht="12">
      <c r="B35" s="837">
        <v>28</v>
      </c>
      <c r="C35" s="834" t="s">
        <v>487</v>
      </c>
      <c r="D35" s="835">
        <v>0</v>
      </c>
      <c r="E35" s="835">
        <v>39747.51</v>
      </c>
      <c r="F35" s="835">
        <v>26139.75</v>
      </c>
      <c r="G35" s="835">
        <v>47013.93</v>
      </c>
      <c r="H35" s="840"/>
      <c r="I35" s="840">
        <f>IF(AND(E35=0,D35=0),0,(IF(AND(E35=0,D35&gt;0),1,(IF(AND(E35&gt;0,D35=0),0,IF(AND(E35&gt;0,D35&gt;0),0,1))))))</f>
        <v>0</v>
      </c>
      <c r="J35" s="840">
        <f>IF(AND(F35=0,E35=0),0,(IF(AND(F35=0,E35&gt;0),1,(IF(AND(F35&gt;0,E35=0),0,IF(AND(F35&gt;0,E35&gt;0),0,1))))))</f>
        <v>0</v>
      </c>
      <c r="K35" s="841">
        <f>IF(AND(G35=0,F35=0),0,(IF(AND(G35=0,F35&gt;0),1,(IF(AND(G35&gt;0,F35=0),0,IF(AND(G35&gt;0,F35&gt;0),0,1))))))</f>
        <v>0</v>
      </c>
    </row>
    <row r="36" spans="2:11" s="55" customFormat="1" ht="12">
      <c r="B36" s="837">
        <v>29</v>
      </c>
      <c r="C36" s="834" t="s">
        <v>488</v>
      </c>
      <c r="D36" s="835">
        <v>0</v>
      </c>
      <c r="E36" s="835">
        <v>0</v>
      </c>
      <c r="F36" s="835">
        <v>116937.95</v>
      </c>
      <c r="G36" s="835">
        <v>57150.87</v>
      </c>
      <c r="H36" s="840"/>
      <c r="I36" s="840">
        <f>IF(AND(E36=0,D36=0),0,(IF(AND(E36=0,D36&gt;0),1,(IF(AND(E36&gt;0,D36=0),0,IF(AND(E36&gt;0,D36&gt;0),0,1))))))</f>
        <v>0</v>
      </c>
      <c r="J36" s="840">
        <f>IF(AND(F36=0,E36=0),0,(IF(AND(F36=0,E36&gt;0),1,(IF(AND(F36&gt;0,E36=0),0,IF(AND(F36&gt;0,E36&gt;0),0,1))))))</f>
        <v>0</v>
      </c>
      <c r="K36" s="841">
        <f>IF(AND(G36=0,F36=0),0,(IF(AND(G36=0,F36&gt;0),1,(IF(AND(G36&gt;0,F36=0),0,IF(AND(G36&gt;0,F36&gt;0),0,1))))))</f>
        <v>0</v>
      </c>
    </row>
    <row r="37" spans="2:11" s="55" customFormat="1" ht="12">
      <c r="B37" s="837">
        <v>30</v>
      </c>
      <c r="C37" s="834" t="s">
        <v>489</v>
      </c>
      <c r="D37" s="835">
        <v>74173.91</v>
      </c>
      <c r="E37" s="835">
        <v>21709.08</v>
      </c>
      <c r="F37" s="835">
        <v>118027.4</v>
      </c>
      <c r="G37" s="835">
        <v>667649.94999999995</v>
      </c>
      <c r="H37" s="840"/>
      <c r="I37" s="840">
        <f>IF(AND(E37=0,D37=0),0,(IF(AND(E37=0,D37&gt;0),1,(IF(AND(E37&gt;0,D37=0),0,IF(AND(E37&gt;0,D37&gt;0),0,1))))))</f>
        <v>0</v>
      </c>
      <c r="J37" s="840">
        <f>IF(AND(F37=0,E37=0),0,(IF(AND(F37=0,E37&gt;0),1,(IF(AND(F37&gt;0,E37=0),0,IF(AND(F37&gt;0,E37&gt;0),0,1))))))</f>
        <v>0</v>
      </c>
      <c r="K37" s="841">
        <f>IF(AND(G37=0,F37=0),0,(IF(AND(G37=0,F37&gt;0),1,(IF(AND(G37&gt;0,F37=0),0,IF(AND(G37&gt;0,F37&gt;0),0,1))))))</f>
        <v>0</v>
      </c>
    </row>
    <row r="38" spans="2:11" s="55" customFormat="1" ht="12">
      <c r="B38" s="837">
        <v>31</v>
      </c>
      <c r="C38" s="834" t="s">
        <v>490</v>
      </c>
      <c r="D38" s="835">
        <v>0</v>
      </c>
      <c r="E38" s="835">
        <v>887203.53</v>
      </c>
      <c r="F38" s="835">
        <v>777736.09</v>
      </c>
      <c r="G38" s="835">
        <v>957765.54</v>
      </c>
      <c r="H38" s="840"/>
      <c r="I38" s="840">
        <f>IF(AND(E38=0,D38=0),0,(IF(AND(E38=0,D38&gt;0),1,(IF(AND(E38&gt;0,D38=0),0,IF(AND(E38&gt;0,D38&gt;0),0,1))))))</f>
        <v>0</v>
      </c>
      <c r="J38" s="840">
        <f>IF(AND(F38=0,E38=0),0,(IF(AND(F38=0,E38&gt;0),1,(IF(AND(F38&gt;0,E38=0),0,IF(AND(F38&gt;0,E38&gt;0),0,1))))))</f>
        <v>0</v>
      </c>
      <c r="K38" s="841">
        <f>IF(AND(G38=0,F38=0),0,(IF(AND(G38=0,F38&gt;0),1,(IF(AND(G38&gt;0,F38=0),0,IF(AND(G38&gt;0,F38&gt;0),0,1))))))</f>
        <v>0</v>
      </c>
    </row>
    <row r="39" spans="2:11" s="55" customFormat="1" ht="12">
      <c r="B39" s="837">
        <v>32</v>
      </c>
      <c r="C39" s="834" t="s">
        <v>491</v>
      </c>
      <c r="D39" s="835">
        <v>61136.05</v>
      </c>
      <c r="E39" s="835">
        <v>49077.279999999999</v>
      </c>
      <c r="F39" s="835">
        <v>17216.169999999998</v>
      </c>
      <c r="G39" s="835">
        <v>-56.68</v>
      </c>
      <c r="H39" s="840"/>
      <c r="I39" s="840">
        <f>IF(AND(E39=0,D39=0),0,(IF(AND(E39=0,D39&gt;0),1,(IF(AND(E39&gt;0,D39=0),0,IF(AND(E39&gt;0,D39&gt;0),0,1))))))</f>
        <v>0</v>
      </c>
      <c r="J39" s="840">
        <f>IF(AND(F39=0,E39=0),0,(IF(AND(F39=0,E39&gt;0),1,(IF(AND(F39&gt;0,E39=0),0,IF(AND(F39&gt;0,E39&gt;0),0,1))))))</f>
        <v>0</v>
      </c>
      <c r="K39" s="841">
        <f>IF(AND(G39=0,F39=0),0,(IF(AND(G39=0,F39&gt;0),1,(IF(AND(G39&gt;0,F39=0),0,IF(AND(G39&gt;0,F39&gt;0),0,1))))))</f>
        <v>1</v>
      </c>
    </row>
    <row r="40" spans="2:11" s="55" customFormat="1" ht="12">
      <c r="B40" s="837">
        <v>33</v>
      </c>
      <c r="C40" s="834" t="s">
        <v>492</v>
      </c>
      <c r="D40" s="835">
        <v>0</v>
      </c>
      <c r="E40" s="835">
        <v>0</v>
      </c>
      <c r="F40" s="835">
        <v>0</v>
      </c>
      <c r="G40" s="835">
        <v>63550.83</v>
      </c>
      <c r="H40" s="840"/>
      <c r="I40" s="840">
        <f>IF(AND(E40=0,D40=0),0,(IF(AND(E40=0,D40&gt;0),1,(IF(AND(E40&gt;0,D40=0),0,IF(AND(E40&gt;0,D40&gt;0),0,1))))))</f>
        <v>0</v>
      </c>
      <c r="J40" s="840">
        <f>IF(AND(F40=0,E40=0),0,(IF(AND(F40=0,E40&gt;0),1,(IF(AND(F40&gt;0,E40=0),0,IF(AND(F40&gt;0,E40&gt;0),0,1))))))</f>
        <v>0</v>
      </c>
      <c r="K40" s="841">
        <f>IF(AND(G40=0,F40=0),0,(IF(AND(G40=0,F40&gt;0),1,(IF(AND(G40&gt;0,F40=0),0,IF(AND(G40&gt;0,F40&gt;0),0,1))))))</f>
        <v>0</v>
      </c>
    </row>
    <row r="41" spans="2:11" s="55" customFormat="1" ht="12">
      <c r="B41" s="837">
        <v>34</v>
      </c>
      <c r="C41" s="834" t="s">
        <v>493</v>
      </c>
      <c r="D41" s="835">
        <v>245653.58</v>
      </c>
      <c r="E41" s="835">
        <v>434113.1</v>
      </c>
      <c r="F41" s="835">
        <v>565321.22</v>
      </c>
      <c r="G41" s="835">
        <v>507610.57</v>
      </c>
      <c r="H41" s="840"/>
      <c r="I41" s="840">
        <f>IF(AND(E41=0,D41=0),0,(IF(AND(E41=0,D41&gt;0),1,(IF(AND(E41&gt;0,D41=0),0,IF(AND(E41&gt;0,D41&gt;0),0,1))))))</f>
        <v>0</v>
      </c>
      <c r="J41" s="840">
        <f>IF(AND(F41=0,E41=0),0,(IF(AND(F41=0,E41&gt;0),1,(IF(AND(F41&gt;0,E41=0),0,IF(AND(F41&gt;0,E41&gt;0),0,1))))))</f>
        <v>0</v>
      </c>
      <c r="K41" s="841">
        <f>IF(AND(G41=0,F41=0),0,(IF(AND(G41=0,F41&gt;0),1,(IF(AND(G41&gt;0,F41=0),0,IF(AND(G41&gt;0,F41&gt;0),0,1))))))</f>
        <v>0</v>
      </c>
    </row>
    <row r="42" spans="2:11" s="55" customFormat="1" ht="12">
      <c r="B42" s="837">
        <v>35</v>
      </c>
      <c r="C42" s="834" t="s">
        <v>494</v>
      </c>
      <c r="D42" s="835">
        <v>0</v>
      </c>
      <c r="E42" s="835">
        <v>37250</v>
      </c>
      <c r="F42" s="835">
        <v>1213973.46</v>
      </c>
      <c r="G42" s="835">
        <v>2373498.15</v>
      </c>
      <c r="H42" s="840"/>
      <c r="I42" s="840">
        <f>IF(AND(E42=0,D42=0),0,(IF(AND(E42=0,D42&gt;0),1,(IF(AND(E42&gt;0,D42=0),0,IF(AND(E42&gt;0,D42&gt;0),0,1))))))</f>
        <v>0</v>
      </c>
      <c r="J42" s="840">
        <f>IF(AND(F42=0,E42=0),0,(IF(AND(F42=0,E42&gt;0),1,(IF(AND(F42&gt;0,E42=0),0,IF(AND(F42&gt;0,E42&gt;0),0,1))))))</f>
        <v>0</v>
      </c>
      <c r="K42" s="841">
        <f>IF(AND(G42=0,F42=0),0,(IF(AND(G42=0,F42&gt;0),1,(IF(AND(G42&gt;0,F42=0),0,IF(AND(G42&gt;0,F42&gt;0),0,1))))))</f>
        <v>0</v>
      </c>
    </row>
    <row r="43" spans="2:11" s="55" customFormat="1" ht="12">
      <c r="B43" s="837">
        <v>36</v>
      </c>
      <c r="C43" s="834" t="s">
        <v>495</v>
      </c>
      <c r="D43" s="835">
        <v>0</v>
      </c>
      <c r="E43" s="835">
        <v>0</v>
      </c>
      <c r="F43" s="835">
        <v>0</v>
      </c>
      <c r="G43" s="835">
        <v>8250</v>
      </c>
      <c r="H43" s="840"/>
      <c r="I43" s="840">
        <f>IF(AND(E43=0,D43=0),0,(IF(AND(E43=0,D43&gt;0),1,(IF(AND(E43&gt;0,D43=0),0,IF(AND(E43&gt;0,D43&gt;0),0,1))))))</f>
        <v>0</v>
      </c>
      <c r="J43" s="840">
        <f>IF(AND(F43=0,E43=0),0,(IF(AND(F43=0,E43&gt;0),1,(IF(AND(F43&gt;0,E43=0),0,IF(AND(F43&gt;0,E43&gt;0),0,1))))))</f>
        <v>0</v>
      </c>
      <c r="K43" s="841">
        <f>IF(AND(G43=0,F43=0),0,(IF(AND(G43=0,F43&gt;0),1,(IF(AND(G43&gt;0,F43=0),0,IF(AND(G43&gt;0,F43&gt;0),0,1))))))</f>
        <v>0</v>
      </c>
    </row>
    <row r="44" spans="2:11" s="55" customFormat="1" ht="12">
      <c r="B44" s="837">
        <v>37</v>
      </c>
      <c r="C44" s="834" t="s">
        <v>496</v>
      </c>
      <c r="D44" s="835">
        <v>1638794.54</v>
      </c>
      <c r="E44" s="835">
        <v>2376061.66</v>
      </c>
      <c r="F44" s="835">
        <v>3882099.62</v>
      </c>
      <c r="G44" s="835">
        <v>2880242.69</v>
      </c>
      <c r="H44" s="840"/>
      <c r="I44" s="840">
        <f>IF(AND(E44=0,D44=0),0,(IF(AND(E44=0,D44&gt;0),1,(IF(AND(E44&gt;0,D44=0),0,IF(AND(E44&gt;0,D44&gt;0),0,1))))))</f>
        <v>0</v>
      </c>
      <c r="J44" s="840">
        <f>IF(AND(F44=0,E44=0),0,(IF(AND(F44=0,E44&gt;0),1,(IF(AND(F44&gt;0,E44=0),0,IF(AND(F44&gt;0,E44&gt;0),0,1))))))</f>
        <v>0</v>
      </c>
      <c r="K44" s="841">
        <f>IF(AND(G44=0,F44=0),0,(IF(AND(G44=0,F44&gt;0),1,(IF(AND(G44&gt;0,F44=0),0,IF(AND(G44&gt;0,F44&gt;0),0,1))))))</f>
        <v>0</v>
      </c>
    </row>
    <row r="45" spans="2:11" s="55" customFormat="1" ht="12">
      <c r="B45" s="837">
        <v>38</v>
      </c>
      <c r="C45" s="834" t="s">
        <v>497</v>
      </c>
      <c r="D45" s="835">
        <v>96813.2</v>
      </c>
      <c r="E45" s="835">
        <v>32070.12</v>
      </c>
      <c r="F45" s="835">
        <v>3402.47</v>
      </c>
      <c r="G45" s="835">
        <v>11462.93</v>
      </c>
      <c r="H45" s="840"/>
      <c r="I45" s="840">
        <f>IF(AND(E45=0,D45=0),0,(IF(AND(E45=0,D45&gt;0),1,(IF(AND(E45&gt;0,D45=0),0,IF(AND(E45&gt;0,D45&gt;0),0,1))))))</f>
        <v>0</v>
      </c>
      <c r="J45" s="840">
        <f>IF(AND(F45=0,E45=0),0,(IF(AND(F45=0,E45&gt;0),1,(IF(AND(F45&gt;0,E45=0),0,IF(AND(F45&gt;0,E45&gt;0),0,1))))))</f>
        <v>0</v>
      </c>
      <c r="K45" s="841">
        <f>IF(AND(G45=0,F45=0),0,(IF(AND(G45=0,F45&gt;0),1,(IF(AND(G45&gt;0,F45=0),0,IF(AND(G45&gt;0,F45&gt;0),0,1))))))</f>
        <v>0</v>
      </c>
    </row>
    <row r="46" spans="2:11" s="55" customFormat="1" ht="12">
      <c r="B46" s="837">
        <v>39</v>
      </c>
      <c r="C46" s="834" t="s">
        <v>498</v>
      </c>
      <c r="D46" s="835">
        <v>209293.23</v>
      </c>
      <c r="E46" s="835">
        <v>106437.35</v>
      </c>
      <c r="F46" s="835">
        <v>170319.17</v>
      </c>
      <c r="G46" s="835">
        <v>61188.43</v>
      </c>
      <c r="H46" s="840"/>
      <c r="I46" s="840">
        <f>IF(AND(E46=0,D46=0),0,(IF(AND(E46=0,D46&gt;0),1,(IF(AND(E46&gt;0,D46=0),0,IF(AND(E46&gt;0,D46&gt;0),0,1))))))</f>
        <v>0</v>
      </c>
      <c r="J46" s="840">
        <f>IF(AND(F46=0,E46=0),0,(IF(AND(F46=0,E46&gt;0),1,(IF(AND(F46&gt;0,E46=0),0,IF(AND(F46&gt;0,E46&gt;0),0,1))))))</f>
        <v>0</v>
      </c>
      <c r="K46" s="841">
        <f>IF(AND(G46=0,F46=0),0,(IF(AND(G46=0,F46&gt;0),1,(IF(AND(G46&gt;0,F46=0),0,IF(AND(G46&gt;0,F46&gt;0),0,1))))))</f>
        <v>0</v>
      </c>
    </row>
    <row r="47" spans="2:11" s="55" customFormat="1" ht="12">
      <c r="B47" s="837">
        <v>40</v>
      </c>
      <c r="C47" s="834" t="s">
        <v>499</v>
      </c>
      <c r="D47" s="835">
        <v>263574.92</v>
      </c>
      <c r="E47" s="835">
        <v>196549.87</v>
      </c>
      <c r="F47" s="835">
        <v>150840.09</v>
      </c>
      <c r="G47" s="835">
        <v>124335.54</v>
      </c>
      <c r="H47" s="840"/>
      <c r="I47" s="840">
        <f>IF(AND(E47=0,D47=0),0,(IF(AND(E47=0,D47&gt;0),1,(IF(AND(E47&gt;0,D47=0),0,IF(AND(E47&gt;0,D47&gt;0),0,1))))))</f>
        <v>0</v>
      </c>
      <c r="J47" s="840">
        <f>IF(AND(F47=0,E47=0),0,(IF(AND(F47=0,E47&gt;0),1,(IF(AND(F47&gt;0,E47=0),0,IF(AND(F47&gt;0,E47&gt;0),0,1))))))</f>
        <v>0</v>
      </c>
      <c r="K47" s="841">
        <f>IF(AND(G47=0,F47=0),0,(IF(AND(G47=0,F47&gt;0),1,(IF(AND(G47&gt;0,F47=0),0,IF(AND(G47&gt;0,F47&gt;0),0,1))))))</f>
        <v>0</v>
      </c>
    </row>
    <row r="48" spans="2:11" s="55" customFormat="1" ht="12">
      <c r="B48" s="837">
        <v>41</v>
      </c>
      <c r="C48" s="834" t="s">
        <v>500</v>
      </c>
      <c r="D48" s="835">
        <v>770593.9</v>
      </c>
      <c r="E48" s="835">
        <v>1456935.71</v>
      </c>
      <c r="F48" s="835">
        <v>1771761.17</v>
      </c>
      <c r="G48" s="835">
        <v>1674428.25</v>
      </c>
      <c r="H48" s="840"/>
      <c r="I48" s="840">
        <f>IF(AND(E48=0,D48=0),0,(IF(AND(E48=0,D48&gt;0),1,(IF(AND(E48&gt;0,D48=0),0,IF(AND(E48&gt;0,D48&gt;0),0,1))))))</f>
        <v>0</v>
      </c>
      <c r="J48" s="840">
        <f>IF(AND(F48=0,E48=0),0,(IF(AND(F48=0,E48&gt;0),1,(IF(AND(F48&gt;0,E48=0),0,IF(AND(F48&gt;0,E48&gt;0),0,1))))))</f>
        <v>0</v>
      </c>
      <c r="K48" s="841">
        <f>IF(AND(G48=0,F48=0),0,(IF(AND(G48=0,F48&gt;0),1,(IF(AND(G48&gt;0,F48=0),0,IF(AND(G48&gt;0,F48&gt;0),0,1))))))</f>
        <v>0</v>
      </c>
    </row>
    <row r="49" spans="2:11" s="55" customFormat="1" ht="12">
      <c r="B49" s="837">
        <v>42</v>
      </c>
      <c r="C49" s="834" t="s">
        <v>501</v>
      </c>
      <c r="D49" s="835">
        <v>0</v>
      </c>
      <c r="E49" s="835">
        <v>0</v>
      </c>
      <c r="F49" s="835">
        <v>38625.440000000002</v>
      </c>
      <c r="G49" s="835">
        <v>121636.95</v>
      </c>
      <c r="H49" s="840"/>
      <c r="I49" s="840">
        <f>IF(AND(E49=0,D49=0),0,(IF(AND(E49=0,D49&gt;0),1,(IF(AND(E49&gt;0,D49=0),0,IF(AND(E49&gt;0,D49&gt;0),0,1))))))</f>
        <v>0</v>
      </c>
      <c r="J49" s="840">
        <f>IF(AND(F49=0,E49=0),0,(IF(AND(F49=0,E49&gt;0),1,(IF(AND(F49&gt;0,E49=0),0,IF(AND(F49&gt;0,E49&gt;0),0,1))))))</f>
        <v>0</v>
      </c>
      <c r="K49" s="841">
        <f>IF(AND(G49=0,F49=0),0,(IF(AND(G49=0,F49&gt;0),1,(IF(AND(G49&gt;0,F49=0),0,IF(AND(G49&gt;0,F49&gt;0),0,1))))))</f>
        <v>0</v>
      </c>
    </row>
    <row r="50" spans="2:11" s="55" customFormat="1" ht="12">
      <c r="B50" s="837">
        <v>43</v>
      </c>
      <c r="C50" s="834" t="s">
        <v>502</v>
      </c>
      <c r="D50" s="835">
        <v>129715.14</v>
      </c>
      <c r="E50" s="835">
        <v>121651.48</v>
      </c>
      <c r="F50" s="835">
        <v>87013.14</v>
      </c>
      <c r="G50" s="835">
        <v>111943.62</v>
      </c>
      <c r="H50" s="840"/>
      <c r="I50" s="840">
        <f>IF(AND(E50=0,D50=0),0,(IF(AND(E50=0,D50&gt;0),1,(IF(AND(E50&gt;0,D50=0),0,IF(AND(E50&gt;0,D50&gt;0),0,1))))))</f>
        <v>0</v>
      </c>
      <c r="J50" s="840">
        <f>IF(AND(F50=0,E50=0),0,(IF(AND(F50=0,E50&gt;0),1,(IF(AND(F50&gt;0,E50=0),0,IF(AND(F50&gt;0,E50&gt;0),0,1))))))</f>
        <v>0</v>
      </c>
      <c r="K50" s="841">
        <f>IF(AND(G50=0,F50=0),0,(IF(AND(G50=0,F50&gt;0),1,(IF(AND(G50&gt;0,F50=0),0,IF(AND(G50&gt;0,F50&gt;0),0,1))))))</f>
        <v>0</v>
      </c>
    </row>
    <row r="51" spans="2:11" s="55" customFormat="1" ht="12">
      <c r="B51" s="837">
        <v>44</v>
      </c>
      <c r="C51" s="834" t="s">
        <v>503</v>
      </c>
      <c r="D51" s="835">
        <v>5040.51</v>
      </c>
      <c r="E51" s="835">
        <v>0</v>
      </c>
      <c r="F51" s="835">
        <v>0</v>
      </c>
      <c r="G51" s="835">
        <v>1713.17</v>
      </c>
      <c r="H51" s="840"/>
      <c r="I51" s="840">
        <f>IF(AND(E51=0,D51=0),0,(IF(AND(E51=0,D51&gt;0),1,(IF(AND(E51&gt;0,D51=0),0,IF(AND(E51&gt;0,D51&gt;0),0,1))))))</f>
        <v>1</v>
      </c>
      <c r="J51" s="840">
        <f>IF(AND(F51=0,E51=0),0,(IF(AND(F51=0,E51&gt;0),1,(IF(AND(F51&gt;0,E51=0),0,IF(AND(F51&gt;0,E51&gt;0),0,1))))))</f>
        <v>0</v>
      </c>
      <c r="K51" s="841">
        <f>IF(AND(G51=0,F51=0),0,(IF(AND(G51=0,F51&gt;0),1,(IF(AND(G51&gt;0,F51=0),0,IF(AND(G51&gt;0,F51&gt;0),0,1))))))</f>
        <v>0</v>
      </c>
    </row>
    <row r="52" spans="2:11" s="55" customFormat="1" ht="12">
      <c r="B52" s="837">
        <v>45</v>
      </c>
      <c r="C52" s="834" t="s">
        <v>504</v>
      </c>
      <c r="D52" s="835">
        <v>44859.23</v>
      </c>
      <c r="E52" s="835">
        <v>7524.44</v>
      </c>
      <c r="F52" s="835">
        <v>369.59</v>
      </c>
      <c r="G52" s="835">
        <v>54.76</v>
      </c>
      <c r="H52" s="840"/>
      <c r="I52" s="840">
        <f>IF(AND(E52=0,D52=0),0,(IF(AND(E52=0,D52&gt;0),1,(IF(AND(E52&gt;0,D52=0),0,IF(AND(E52&gt;0,D52&gt;0),0,1))))))</f>
        <v>0</v>
      </c>
      <c r="J52" s="840">
        <f>IF(AND(F52=0,E52=0),0,(IF(AND(F52=0,E52&gt;0),1,(IF(AND(F52&gt;0,E52=0),0,IF(AND(F52&gt;0,E52&gt;0),0,1))))))</f>
        <v>0</v>
      </c>
      <c r="K52" s="841">
        <f>IF(AND(G52=0,F52=0),0,(IF(AND(G52=0,F52&gt;0),1,(IF(AND(G52&gt;0,F52=0),0,IF(AND(G52&gt;0,F52&gt;0),0,1))))))</f>
        <v>0</v>
      </c>
    </row>
    <row r="53" spans="2:11" s="55" customFormat="1" ht="12">
      <c r="B53" s="837">
        <v>46</v>
      </c>
      <c r="C53" s="834" t="s">
        <v>505</v>
      </c>
      <c r="D53" s="835">
        <v>13986.17</v>
      </c>
      <c r="E53" s="835">
        <v>22322.86</v>
      </c>
      <c r="F53" s="835">
        <v>15273.04</v>
      </c>
      <c r="G53" s="835">
        <v>26403.85</v>
      </c>
      <c r="H53" s="840"/>
      <c r="I53" s="840">
        <f>IF(AND(E53=0,D53=0),0,(IF(AND(E53=0,D53&gt;0),1,(IF(AND(E53&gt;0,D53=0),0,IF(AND(E53&gt;0,D53&gt;0),0,1))))))</f>
        <v>0</v>
      </c>
      <c r="J53" s="840">
        <f>IF(AND(F53=0,E53=0),0,(IF(AND(F53=0,E53&gt;0),1,(IF(AND(F53&gt;0,E53=0),0,IF(AND(F53&gt;0,E53&gt;0),0,1))))))</f>
        <v>0</v>
      </c>
      <c r="K53" s="841">
        <f>IF(AND(G53=0,F53=0),0,(IF(AND(G53=0,F53&gt;0),1,(IF(AND(G53&gt;0,F53=0),0,IF(AND(G53&gt;0,F53&gt;0),0,1))))))</f>
        <v>0</v>
      </c>
    </row>
    <row r="54" spans="2:11" s="55" customFormat="1" ht="12">
      <c r="B54" s="837">
        <v>47</v>
      </c>
      <c r="C54" s="834" t="s">
        <v>506</v>
      </c>
      <c r="D54" s="835">
        <v>116946.02</v>
      </c>
      <c r="E54" s="835">
        <v>399199.14</v>
      </c>
      <c r="F54" s="835">
        <v>681741.15</v>
      </c>
      <c r="G54" s="835">
        <v>477609.51</v>
      </c>
      <c r="H54" s="840"/>
      <c r="I54" s="840">
        <f>IF(AND(E54=0,D54=0),0,(IF(AND(E54=0,D54&gt;0),1,(IF(AND(E54&gt;0,D54=0),0,IF(AND(E54&gt;0,D54&gt;0),0,1))))))</f>
        <v>0</v>
      </c>
      <c r="J54" s="840">
        <f>IF(AND(F54=0,E54=0),0,(IF(AND(F54=0,E54&gt;0),1,(IF(AND(F54&gt;0,E54=0),0,IF(AND(F54&gt;0,E54&gt;0),0,1))))))</f>
        <v>0</v>
      </c>
      <c r="K54" s="841">
        <f>IF(AND(G54=0,F54=0),0,(IF(AND(G54=0,F54&gt;0),1,(IF(AND(G54&gt;0,F54=0),0,IF(AND(G54&gt;0,F54&gt;0),0,1))))))</f>
        <v>0</v>
      </c>
    </row>
    <row r="55" spans="2:11" s="55" customFormat="1" ht="12">
      <c r="B55" s="837">
        <v>48</v>
      </c>
      <c r="C55" s="834" t="s">
        <v>507</v>
      </c>
      <c r="D55" s="835">
        <v>2198.5500000000002</v>
      </c>
      <c r="E55" s="835">
        <v>1857.69</v>
      </c>
      <c r="F55" s="835">
        <v>4800.16</v>
      </c>
      <c r="G55" s="835">
        <v>5634.44</v>
      </c>
      <c r="H55" s="840"/>
      <c r="I55" s="840">
        <f>IF(AND(E55=0,D55=0),0,(IF(AND(E55=0,D55&gt;0),1,(IF(AND(E55&gt;0,D55=0),0,IF(AND(E55&gt;0,D55&gt;0),0,1))))))</f>
        <v>0</v>
      </c>
      <c r="J55" s="840">
        <f>IF(AND(F55=0,E55=0),0,(IF(AND(F55=0,E55&gt;0),1,(IF(AND(F55&gt;0,E55=0),0,IF(AND(F55&gt;0,E55&gt;0),0,1))))))</f>
        <v>0</v>
      </c>
      <c r="K55" s="841">
        <f>IF(AND(G55=0,F55=0),0,(IF(AND(G55=0,F55&gt;0),1,(IF(AND(G55&gt;0,F55=0),0,IF(AND(G55&gt;0,F55&gt;0),0,1))))))</f>
        <v>0</v>
      </c>
    </row>
    <row r="56" spans="2:11" s="55" customFormat="1" ht="12">
      <c r="B56" s="837">
        <v>49</v>
      </c>
      <c r="C56" s="834" t="s">
        <v>508</v>
      </c>
      <c r="D56" s="835">
        <v>61933.24</v>
      </c>
      <c r="E56" s="835">
        <v>433567.02</v>
      </c>
      <c r="F56" s="835">
        <v>517718.34</v>
      </c>
      <c r="G56" s="835">
        <v>599963.06999999995</v>
      </c>
      <c r="H56" s="840"/>
      <c r="I56" s="840">
        <f>IF(AND(E56=0,D56=0),0,(IF(AND(E56=0,D56&gt;0),1,(IF(AND(E56&gt;0,D56=0),0,IF(AND(E56&gt;0,D56&gt;0),0,1))))))</f>
        <v>0</v>
      </c>
      <c r="J56" s="840">
        <f>IF(AND(F56=0,E56=0),0,(IF(AND(F56=0,E56&gt;0),1,(IF(AND(F56&gt;0,E56=0),0,IF(AND(F56&gt;0,E56&gt;0),0,1))))))</f>
        <v>0</v>
      </c>
      <c r="K56" s="841">
        <f>IF(AND(G56=0,F56=0),0,(IF(AND(G56=0,F56&gt;0),1,(IF(AND(G56&gt;0,F56=0),0,IF(AND(G56&gt;0,F56&gt;0),0,1))))))</f>
        <v>0</v>
      </c>
    </row>
    <row r="57" spans="2:11" s="55" customFormat="1" ht="12">
      <c r="B57" s="837">
        <v>50</v>
      </c>
      <c r="C57" s="834" t="s">
        <v>509</v>
      </c>
      <c r="D57" s="835">
        <v>211382.52</v>
      </c>
      <c r="E57" s="835">
        <v>256095.2</v>
      </c>
      <c r="F57" s="835">
        <v>236021.43</v>
      </c>
      <c r="G57" s="835">
        <v>220546.62</v>
      </c>
      <c r="H57" s="840"/>
      <c r="I57" s="840">
        <f>IF(AND(E57=0,D57=0),0,(IF(AND(E57=0,D57&gt;0),1,(IF(AND(E57&gt;0,D57=0),0,IF(AND(E57&gt;0,D57&gt;0),0,1))))))</f>
        <v>0</v>
      </c>
      <c r="J57" s="840">
        <f>IF(AND(F57=0,E57=0),0,(IF(AND(F57=0,E57&gt;0),1,(IF(AND(F57&gt;0,E57=0),0,IF(AND(F57&gt;0,E57&gt;0),0,1))))))</f>
        <v>0</v>
      </c>
      <c r="K57" s="841">
        <f>IF(AND(G57=0,F57=0),0,(IF(AND(G57=0,F57&gt;0),1,(IF(AND(G57&gt;0,F57=0),0,IF(AND(G57&gt;0,F57&gt;0),0,1))))))</f>
        <v>0</v>
      </c>
    </row>
    <row r="58" spans="2:11" s="55" customFormat="1" ht="12">
      <c r="B58" s="837">
        <v>51</v>
      </c>
      <c r="C58" s="834" t="s">
        <v>510</v>
      </c>
      <c r="D58" s="835">
        <v>0</v>
      </c>
      <c r="E58" s="835">
        <v>0</v>
      </c>
      <c r="F58" s="835">
        <v>0</v>
      </c>
      <c r="G58" s="835">
        <v>0</v>
      </c>
      <c r="H58" s="840"/>
      <c r="I58" s="840">
        <f>IF(AND(E58=0,D58=0),0,(IF(AND(E58=0,D58&gt;0),1,(IF(AND(E58&gt;0,D58=0),0,IF(AND(E58&gt;0,D58&gt;0),0,1))))))</f>
        <v>0</v>
      </c>
      <c r="J58" s="840">
        <f>IF(AND(F58=0,E58=0),0,(IF(AND(F58=0,E58&gt;0),1,(IF(AND(F58&gt;0,E58=0),0,IF(AND(F58&gt;0,E58&gt;0),0,1))))))</f>
        <v>0</v>
      </c>
      <c r="K58" s="841">
        <f>IF(AND(G58=0,F58=0),0,(IF(AND(G58=0,F58&gt;0),1,(IF(AND(G58&gt;0,F58=0),0,IF(AND(G58&gt;0,F58&gt;0),0,1))))))</f>
        <v>0</v>
      </c>
    </row>
    <row r="59" spans="2:11" s="55" customFormat="1" ht="12">
      <c r="B59" s="837">
        <v>52</v>
      </c>
      <c r="C59" s="834" t="s">
        <v>511</v>
      </c>
      <c r="D59" s="835">
        <v>7630</v>
      </c>
      <c r="E59" s="835">
        <v>2.5</v>
      </c>
      <c r="F59" s="835">
        <v>0</v>
      </c>
      <c r="G59" s="835">
        <v>0</v>
      </c>
      <c r="H59" s="840"/>
      <c r="I59" s="840">
        <f>IF(AND(E59=0,D59=0),0,(IF(AND(E59=0,D59&gt;0),1,(IF(AND(E59&gt;0,D59=0),0,IF(AND(E59&gt;0,D59&gt;0),0,1))))))</f>
        <v>0</v>
      </c>
      <c r="J59" s="840">
        <f>IF(AND(F59=0,E59=0),0,(IF(AND(F59=0,E59&gt;0),1,(IF(AND(F59&gt;0,E59=0),0,IF(AND(F59&gt;0,E59&gt;0),0,1))))))</f>
        <v>1</v>
      </c>
      <c r="K59" s="841">
        <f>IF(AND(G59=0,F59=0),0,(IF(AND(G59=0,F59&gt;0),1,(IF(AND(G59&gt;0,F59=0),0,IF(AND(G59&gt;0,F59&gt;0),0,1))))))</f>
        <v>0</v>
      </c>
    </row>
    <row r="60" spans="2:11" s="55" customFormat="1" ht="12">
      <c r="B60" s="837">
        <v>53</v>
      </c>
      <c r="C60" s="834" t="s">
        <v>512</v>
      </c>
      <c r="D60" s="835">
        <v>37766.050000000003</v>
      </c>
      <c r="E60" s="835">
        <v>49846.16</v>
      </c>
      <c r="F60" s="835">
        <v>72255.17</v>
      </c>
      <c r="G60" s="835">
        <v>76679.600000000006</v>
      </c>
      <c r="H60" s="840"/>
      <c r="I60" s="840">
        <f>IF(AND(E60=0,D60=0),0,(IF(AND(E60=0,D60&gt;0),1,(IF(AND(E60&gt;0,D60=0),0,IF(AND(E60&gt;0,D60&gt;0),0,1))))))</f>
        <v>0</v>
      </c>
      <c r="J60" s="840">
        <f>IF(AND(F60=0,E60=0),0,(IF(AND(F60=0,E60&gt;0),1,(IF(AND(F60&gt;0,E60=0),0,IF(AND(F60&gt;0,E60&gt;0),0,1))))))</f>
        <v>0</v>
      </c>
      <c r="K60" s="841">
        <f>IF(AND(G60=0,F60=0),0,(IF(AND(G60=0,F60&gt;0),1,(IF(AND(G60&gt;0,F60=0),0,IF(AND(G60&gt;0,F60&gt;0),0,1))))))</f>
        <v>0</v>
      </c>
    </row>
    <row r="61" spans="2:11" s="55" customFormat="1" ht="12">
      <c r="B61" s="837">
        <v>54</v>
      </c>
      <c r="C61" s="834" t="s">
        <v>513</v>
      </c>
      <c r="D61" s="835">
        <v>59000</v>
      </c>
      <c r="E61" s="835">
        <v>6297.61</v>
      </c>
      <c r="F61" s="835">
        <v>2037.32</v>
      </c>
      <c r="G61" s="835">
        <v>0</v>
      </c>
      <c r="H61" s="840"/>
      <c r="I61" s="840">
        <f>IF(AND(E61=0,D61=0),0,(IF(AND(E61=0,D61&gt;0),1,(IF(AND(E61&gt;0,D61=0),0,IF(AND(E61&gt;0,D61&gt;0),0,1))))))</f>
        <v>0</v>
      </c>
      <c r="J61" s="840">
        <f>IF(AND(F61=0,E61=0),0,(IF(AND(F61=0,E61&gt;0),1,(IF(AND(F61&gt;0,E61=0),0,IF(AND(F61&gt;0,E61&gt;0),0,1))))))</f>
        <v>0</v>
      </c>
      <c r="K61" s="841">
        <f>IF(AND(G61=0,F61=0),0,(IF(AND(G61=0,F61&gt;0),1,(IF(AND(G61&gt;0,F61=0),0,IF(AND(G61&gt;0,F61&gt;0),0,1))))))</f>
        <v>1</v>
      </c>
    </row>
    <row r="62" spans="2:11" s="55" customFormat="1" ht="12">
      <c r="B62" s="837">
        <v>55</v>
      </c>
      <c r="C62" s="834" t="s">
        <v>514</v>
      </c>
      <c r="D62" s="835">
        <v>131605.57999999999</v>
      </c>
      <c r="E62" s="835">
        <v>123855.67</v>
      </c>
      <c r="F62" s="835">
        <v>200009.57</v>
      </c>
      <c r="G62" s="835">
        <v>775182.63</v>
      </c>
      <c r="H62" s="840"/>
      <c r="I62" s="840">
        <f>IF(AND(E62=0,D62=0),0,(IF(AND(E62=0,D62&gt;0),1,(IF(AND(E62&gt;0,D62=0),0,IF(AND(E62&gt;0,D62&gt;0),0,1))))))</f>
        <v>0</v>
      </c>
      <c r="J62" s="840">
        <f>IF(AND(F62=0,E62=0),0,(IF(AND(F62=0,E62&gt;0),1,(IF(AND(F62&gt;0,E62=0),0,IF(AND(F62&gt;0,E62&gt;0),0,1))))))</f>
        <v>0</v>
      </c>
      <c r="K62" s="841">
        <f>IF(AND(G62=0,F62=0),0,(IF(AND(G62=0,F62&gt;0),1,(IF(AND(G62&gt;0,F62=0),0,IF(AND(G62&gt;0,F62&gt;0),0,1))))))</f>
        <v>0</v>
      </c>
    </row>
    <row r="63" spans="2:11" s="55" customFormat="1" ht="12">
      <c r="B63" s="837">
        <v>56</v>
      </c>
      <c r="C63" s="834" t="s">
        <v>515</v>
      </c>
      <c r="D63" s="835">
        <v>123691</v>
      </c>
      <c r="E63" s="835">
        <v>102823.36</v>
      </c>
      <c r="F63" s="835">
        <v>214596.14</v>
      </c>
      <c r="G63" s="835">
        <v>318514.65999999997</v>
      </c>
      <c r="H63" s="840"/>
      <c r="I63" s="840">
        <f>IF(AND(E63=0,D63=0),0,(IF(AND(E63=0,D63&gt;0),1,(IF(AND(E63&gt;0,D63=0),0,IF(AND(E63&gt;0,D63&gt;0),0,1))))))</f>
        <v>0</v>
      </c>
      <c r="J63" s="840">
        <f>IF(AND(F63=0,E63=0),0,(IF(AND(F63=0,E63&gt;0),1,(IF(AND(F63&gt;0,E63=0),0,IF(AND(F63&gt;0,E63&gt;0),0,1))))))</f>
        <v>0</v>
      </c>
      <c r="K63" s="841">
        <f>IF(AND(G63=0,F63=0),0,(IF(AND(G63=0,F63&gt;0),1,(IF(AND(G63&gt;0,F63=0),0,IF(AND(G63&gt;0,F63&gt;0),0,1))))))</f>
        <v>0</v>
      </c>
    </row>
    <row r="64" spans="2:11" s="55" customFormat="1" ht="12">
      <c r="B64" s="837">
        <v>57</v>
      </c>
      <c r="C64" s="834" t="s">
        <v>516</v>
      </c>
      <c r="D64" s="835">
        <v>306</v>
      </c>
      <c r="E64" s="835">
        <v>0</v>
      </c>
      <c r="F64" s="835">
        <v>0</v>
      </c>
      <c r="G64" s="835">
        <v>0</v>
      </c>
      <c r="H64" s="840"/>
      <c r="I64" s="840">
        <f>IF(AND(E64=0,D64=0),0,(IF(AND(E64=0,D64&gt;0),1,(IF(AND(E64&gt;0,D64=0),0,IF(AND(E64&gt;0,D64&gt;0),0,1))))))</f>
        <v>1</v>
      </c>
      <c r="J64" s="840">
        <f>IF(AND(F64=0,E64=0),0,(IF(AND(F64=0,E64&gt;0),1,(IF(AND(F64&gt;0,E64=0),0,IF(AND(F64&gt;0,E64&gt;0),0,1))))))</f>
        <v>0</v>
      </c>
      <c r="K64" s="841">
        <f>IF(AND(G64=0,F64=0),0,(IF(AND(G64=0,F64&gt;0),1,(IF(AND(G64&gt;0,F64=0),0,IF(AND(G64&gt;0,F64&gt;0),0,1))))))</f>
        <v>0</v>
      </c>
    </row>
    <row r="65" spans="2:11" s="55" customFormat="1" ht="12">
      <c r="B65" s="837">
        <v>58</v>
      </c>
      <c r="C65" s="834" t="s">
        <v>517</v>
      </c>
      <c r="D65" s="835">
        <v>303084.45</v>
      </c>
      <c r="E65" s="835">
        <v>131716.6</v>
      </c>
      <c r="F65" s="835">
        <v>60741.47</v>
      </c>
      <c r="G65" s="835">
        <v>32083.72</v>
      </c>
      <c r="H65" s="840"/>
      <c r="I65" s="840">
        <f>IF(AND(E65=0,D65=0),0,(IF(AND(E65=0,D65&gt;0),1,(IF(AND(E65&gt;0,D65=0),0,IF(AND(E65&gt;0,D65&gt;0),0,1))))))</f>
        <v>0</v>
      </c>
      <c r="J65" s="840">
        <f>IF(AND(F65=0,E65=0),0,(IF(AND(F65=0,E65&gt;0),1,(IF(AND(F65&gt;0,E65=0),0,IF(AND(F65&gt;0,E65&gt;0),0,1))))))</f>
        <v>0</v>
      </c>
      <c r="K65" s="841">
        <f>IF(AND(G65=0,F65=0),0,(IF(AND(G65=0,F65&gt;0),1,(IF(AND(G65&gt;0,F65=0),0,IF(AND(G65&gt;0,F65&gt;0),0,1))))))</f>
        <v>0</v>
      </c>
    </row>
    <row r="66" spans="2:11" s="55" customFormat="1" ht="12">
      <c r="B66" s="837">
        <v>59</v>
      </c>
      <c r="C66" s="834" t="s">
        <v>518</v>
      </c>
      <c r="D66" s="835">
        <v>157.5</v>
      </c>
      <c r="E66" s="835">
        <v>31.5</v>
      </c>
      <c r="F66" s="835">
        <v>33317.769999999997</v>
      </c>
      <c r="G66" s="835">
        <v>48382.93</v>
      </c>
      <c r="H66" s="840"/>
      <c r="I66" s="840">
        <f>IF(AND(E66=0,D66=0),0,(IF(AND(E66=0,D66&gt;0),1,(IF(AND(E66&gt;0,D66=0),0,IF(AND(E66&gt;0,D66&gt;0),0,1))))))</f>
        <v>0</v>
      </c>
      <c r="J66" s="840">
        <f>IF(AND(F66=0,E66=0),0,(IF(AND(F66=0,E66&gt;0),1,(IF(AND(F66&gt;0,E66=0),0,IF(AND(F66&gt;0,E66&gt;0),0,1))))))</f>
        <v>0</v>
      </c>
      <c r="K66" s="841">
        <f>IF(AND(G66=0,F66=0),0,(IF(AND(G66=0,F66&gt;0),1,(IF(AND(G66&gt;0,F66=0),0,IF(AND(G66&gt;0,F66&gt;0),0,1))))))</f>
        <v>0</v>
      </c>
    </row>
    <row r="67" spans="2:11" s="55" customFormat="1" ht="12">
      <c r="B67" s="837">
        <v>60</v>
      </c>
      <c r="C67" s="834" t="s">
        <v>519</v>
      </c>
      <c r="D67" s="835">
        <v>6000</v>
      </c>
      <c r="E67" s="835">
        <v>3000</v>
      </c>
      <c r="F67" s="835">
        <v>0</v>
      </c>
      <c r="G67" s="835">
        <v>0</v>
      </c>
      <c r="H67" s="840"/>
      <c r="I67" s="840">
        <f>IF(AND(E67=0,D67=0),0,(IF(AND(E67=0,D67&gt;0),1,(IF(AND(E67&gt;0,D67=0),0,IF(AND(E67&gt;0,D67&gt;0),0,1))))))</f>
        <v>0</v>
      </c>
      <c r="J67" s="840">
        <f>IF(AND(F67=0,E67=0),0,(IF(AND(F67=0,E67&gt;0),1,(IF(AND(F67&gt;0,E67=0),0,IF(AND(F67&gt;0,E67&gt;0),0,1))))))</f>
        <v>1</v>
      </c>
      <c r="K67" s="841">
        <f>IF(AND(G67=0,F67=0),0,(IF(AND(G67=0,F67&gt;0),1,(IF(AND(G67&gt;0,F67=0),0,IF(AND(G67&gt;0,F67&gt;0),0,1))))))</f>
        <v>0</v>
      </c>
    </row>
    <row r="68" spans="2:11" s="55" customFormat="1" ht="12">
      <c r="B68" s="837">
        <v>61</v>
      </c>
      <c r="C68" s="834" t="s">
        <v>520</v>
      </c>
      <c r="D68" s="835">
        <v>1734626.65</v>
      </c>
      <c r="E68" s="835">
        <v>1419077.82</v>
      </c>
      <c r="F68" s="835">
        <v>1637419.58</v>
      </c>
      <c r="G68" s="835">
        <v>2320014.44</v>
      </c>
      <c r="H68" s="840"/>
      <c r="I68" s="840">
        <f>IF(AND(E68=0,D68=0),0,(IF(AND(E68=0,D68&gt;0),1,(IF(AND(E68&gt;0,D68=0),0,IF(AND(E68&gt;0,D68&gt;0),0,1))))))</f>
        <v>0</v>
      </c>
      <c r="J68" s="840">
        <f>IF(AND(F68=0,E68=0),0,(IF(AND(F68=0,E68&gt;0),1,(IF(AND(F68&gt;0,E68=0),0,IF(AND(F68&gt;0,E68&gt;0),0,1))))))</f>
        <v>0</v>
      </c>
      <c r="K68" s="841">
        <f>IF(AND(G68=0,F68=0),0,(IF(AND(G68=0,F68&gt;0),1,(IF(AND(G68&gt;0,F68=0),0,IF(AND(G68&gt;0,F68&gt;0),0,1))))))</f>
        <v>0</v>
      </c>
    </row>
    <row r="69" spans="2:11" s="55" customFormat="1" ht="12">
      <c r="B69" s="837">
        <v>62</v>
      </c>
      <c r="C69" s="834" t="s">
        <v>521</v>
      </c>
      <c r="D69" s="835">
        <v>0</v>
      </c>
      <c r="E69" s="835">
        <v>30084.76</v>
      </c>
      <c r="F69" s="835">
        <v>9359.76</v>
      </c>
      <c r="G69" s="835">
        <v>102.13</v>
      </c>
      <c r="H69" s="840"/>
      <c r="I69" s="840">
        <f>IF(AND(E69=0,D69=0),0,(IF(AND(E69=0,D69&gt;0),1,(IF(AND(E69&gt;0,D69=0),0,IF(AND(E69&gt;0,D69&gt;0),0,1))))))</f>
        <v>0</v>
      </c>
      <c r="J69" s="840">
        <f>IF(AND(F69=0,E69=0),0,(IF(AND(F69=0,E69&gt;0),1,(IF(AND(F69&gt;0,E69=0),0,IF(AND(F69&gt;0,E69&gt;0),0,1))))))</f>
        <v>0</v>
      </c>
      <c r="K69" s="841">
        <f>IF(AND(G69=0,F69=0),0,(IF(AND(G69=0,F69&gt;0),1,(IF(AND(G69&gt;0,F69=0),0,IF(AND(G69&gt;0,F69&gt;0),0,1))))))</f>
        <v>0</v>
      </c>
    </row>
    <row r="70" spans="2:11" s="55" customFormat="1" ht="12">
      <c r="B70" s="837">
        <v>63</v>
      </c>
      <c r="C70" s="834" t="s">
        <v>522</v>
      </c>
      <c r="D70" s="835">
        <v>0</v>
      </c>
      <c r="E70" s="835">
        <v>0</v>
      </c>
      <c r="F70" s="835">
        <v>377202.1</v>
      </c>
      <c r="G70" s="835">
        <v>368669.18</v>
      </c>
      <c r="H70" s="840"/>
      <c r="I70" s="840">
        <f>IF(AND(E70=0,D70=0),0,(IF(AND(E70=0,D70&gt;0),1,(IF(AND(E70&gt;0,D70=0),0,IF(AND(E70&gt;0,D70&gt;0),0,1))))))</f>
        <v>0</v>
      </c>
      <c r="J70" s="840">
        <f>IF(AND(F70=0,E70=0),0,(IF(AND(F70=0,E70&gt;0),1,(IF(AND(F70&gt;0,E70=0),0,IF(AND(F70&gt;0,E70&gt;0),0,1))))))</f>
        <v>0</v>
      </c>
      <c r="K70" s="841">
        <f>IF(AND(G70=0,F70=0),0,(IF(AND(G70=0,F70&gt;0),1,(IF(AND(G70&gt;0,F70=0),0,IF(AND(G70&gt;0,F70&gt;0),0,1))))))</f>
        <v>0</v>
      </c>
    </row>
    <row r="71" spans="2:11" s="55" customFormat="1" ht="12">
      <c r="B71" s="837">
        <v>64</v>
      </c>
      <c r="C71" s="834" t="s">
        <v>523</v>
      </c>
      <c r="D71" s="835">
        <v>463762.7</v>
      </c>
      <c r="E71" s="835">
        <v>361145.05</v>
      </c>
      <c r="F71" s="835">
        <v>423962.12</v>
      </c>
      <c r="G71" s="835">
        <v>704598.93</v>
      </c>
      <c r="H71" s="840"/>
      <c r="I71" s="840">
        <f>IF(AND(E71=0,D71=0),0,(IF(AND(E71=0,D71&gt;0),1,(IF(AND(E71&gt;0,D71=0),0,IF(AND(E71&gt;0,D71&gt;0),0,1))))))</f>
        <v>0</v>
      </c>
      <c r="J71" s="840">
        <f>IF(AND(F71=0,E71=0),0,(IF(AND(F71=0,E71&gt;0),1,(IF(AND(F71&gt;0,E71=0),0,IF(AND(F71&gt;0,E71&gt;0),0,1))))))</f>
        <v>0</v>
      </c>
      <c r="K71" s="841">
        <f>IF(AND(G71=0,F71=0),0,(IF(AND(G71=0,F71&gt;0),1,(IF(AND(G71&gt;0,F71=0),0,IF(AND(G71&gt;0,F71&gt;0),0,1))))))</f>
        <v>0</v>
      </c>
    </row>
    <row r="72" spans="2:11" s="55" customFormat="1" ht="12">
      <c r="B72" s="837">
        <v>65</v>
      </c>
      <c r="C72" s="834" t="s">
        <v>524</v>
      </c>
      <c r="D72" s="835">
        <v>0</v>
      </c>
      <c r="E72" s="835">
        <v>0</v>
      </c>
      <c r="F72" s="835">
        <v>1110</v>
      </c>
      <c r="G72" s="835">
        <v>0</v>
      </c>
      <c r="H72" s="840"/>
      <c r="I72" s="840">
        <f>IF(AND(E72=0,D72=0),0,(IF(AND(E72=0,D72&gt;0),1,(IF(AND(E72&gt;0,D72=0),0,IF(AND(E72&gt;0,D72&gt;0),0,1))))))</f>
        <v>0</v>
      </c>
      <c r="J72" s="840">
        <f>IF(AND(F72=0,E72=0),0,(IF(AND(F72=0,E72&gt;0),1,(IF(AND(F72&gt;0,E72=0),0,IF(AND(F72&gt;0,E72&gt;0),0,1))))))</f>
        <v>0</v>
      </c>
      <c r="K72" s="841">
        <f>IF(AND(G72=0,F72=0),0,(IF(AND(G72=0,F72&gt;0),1,(IF(AND(G72&gt;0,F72=0),0,IF(AND(G72&gt;0,F72&gt;0),0,1))))))</f>
        <v>1</v>
      </c>
    </row>
    <row r="73" spans="2:11" s="55" customFormat="1" ht="12">
      <c r="B73" s="837">
        <v>66</v>
      </c>
      <c r="C73" s="834" t="s">
        <v>525</v>
      </c>
      <c r="D73" s="835">
        <v>89156.32</v>
      </c>
      <c r="E73" s="835">
        <v>12222.08</v>
      </c>
      <c r="F73" s="835">
        <v>131.25</v>
      </c>
      <c r="G73" s="835">
        <v>0</v>
      </c>
      <c r="H73" s="840"/>
      <c r="I73" s="840">
        <f>IF(AND(E73=0,D73=0),0,(IF(AND(E73=0,D73&gt;0),1,(IF(AND(E73&gt;0,D73=0),0,IF(AND(E73&gt;0,D73&gt;0),0,1))))))</f>
        <v>0</v>
      </c>
      <c r="J73" s="840">
        <f>IF(AND(F73=0,E73=0),0,(IF(AND(F73=0,E73&gt;0),1,(IF(AND(F73&gt;0,E73=0),0,IF(AND(F73&gt;0,E73&gt;0),0,1))))))</f>
        <v>0</v>
      </c>
      <c r="K73" s="841">
        <f>IF(AND(G73=0,F73=0),0,(IF(AND(G73=0,F73&gt;0),1,(IF(AND(G73&gt;0,F73=0),0,IF(AND(G73&gt;0,F73&gt;0),0,1))))))</f>
        <v>1</v>
      </c>
    </row>
    <row r="74" spans="2:11" s="55" customFormat="1" ht="12">
      <c r="B74" s="837">
        <v>67</v>
      </c>
      <c r="C74" s="834" t="s">
        <v>526</v>
      </c>
      <c r="D74" s="835">
        <v>23238.469999999998</v>
      </c>
      <c r="E74" s="835">
        <v>3653.84</v>
      </c>
      <c r="F74" s="835">
        <v>-666.47</v>
      </c>
      <c r="G74" s="835">
        <v>17540.57</v>
      </c>
      <c r="H74" s="840"/>
      <c r="I74" s="840">
        <f>IF(AND(E74=0,D74=0),0,(IF(AND(E74=0,D74&gt;0),1,(IF(AND(E74&gt;0,D74=0),0,IF(AND(E74&gt;0,D74&gt;0),0,1))))))</f>
        <v>0</v>
      </c>
      <c r="J74" s="840">
        <f>IF(AND(F74=0,E74=0),0,(IF(AND(F74=0,E74&gt;0),1,(IF(AND(F74&gt;0,E74=0),0,IF(AND(F74&gt;0,E74&gt;0),0,1))))))</f>
        <v>1</v>
      </c>
      <c r="K74" s="841">
        <f>IF(AND(G74=0,F74=0),0,(IF(AND(G74=0,F74&gt;0),1,(IF(AND(G74&gt;0,F74=0),0,IF(AND(G74&gt;0,F74&gt;0),0,1))))))</f>
        <v>1</v>
      </c>
    </row>
    <row r="75" spans="2:11" s="55" customFormat="1" ht="12">
      <c r="B75" s="837">
        <v>68</v>
      </c>
      <c r="C75" s="834" t="s">
        <v>527</v>
      </c>
      <c r="D75" s="835">
        <v>37999.480000000003</v>
      </c>
      <c r="E75" s="835">
        <v>62108.04</v>
      </c>
      <c r="F75" s="835">
        <v>42246.16</v>
      </c>
      <c r="G75" s="835">
        <v>59986.17</v>
      </c>
      <c r="H75" s="840"/>
      <c r="I75" s="840">
        <f>IF(AND(E75=0,D75=0),0,(IF(AND(E75=0,D75&gt;0),1,(IF(AND(E75&gt;0,D75=0),0,IF(AND(E75&gt;0,D75&gt;0),0,1))))))</f>
        <v>0</v>
      </c>
      <c r="J75" s="840">
        <f>IF(AND(F75=0,E75=0),0,(IF(AND(F75=0,E75&gt;0),1,(IF(AND(F75&gt;0,E75=0),0,IF(AND(F75&gt;0,E75&gt;0),0,1))))))</f>
        <v>0</v>
      </c>
      <c r="K75" s="841">
        <f>IF(AND(G75=0,F75=0),0,(IF(AND(G75=0,F75&gt;0),1,(IF(AND(G75&gt;0,F75=0),0,IF(AND(G75&gt;0,F75&gt;0),0,1))))))</f>
        <v>0</v>
      </c>
    </row>
    <row r="76" spans="2:11" s="55" customFormat="1" ht="12">
      <c r="B76" s="837">
        <v>69</v>
      </c>
      <c r="C76" s="834" t="s">
        <v>528</v>
      </c>
      <c r="D76" s="835">
        <v>205904.48</v>
      </c>
      <c r="E76" s="835">
        <v>182793.35</v>
      </c>
      <c r="F76" s="835">
        <v>712103.76</v>
      </c>
      <c r="G76" s="835">
        <v>1327997.57</v>
      </c>
      <c r="H76" s="840"/>
      <c r="I76" s="840">
        <f>IF(AND(E76=0,D76=0),0,(IF(AND(E76=0,D76&gt;0),1,(IF(AND(E76&gt;0,D76=0),0,IF(AND(E76&gt;0,D76&gt;0),0,1))))))</f>
        <v>0</v>
      </c>
      <c r="J76" s="840">
        <f>IF(AND(F76=0,E76=0),0,(IF(AND(F76=0,E76&gt;0),1,(IF(AND(F76&gt;0,E76=0),0,IF(AND(F76&gt;0,E76&gt;0),0,1))))))</f>
        <v>0</v>
      </c>
      <c r="K76" s="841">
        <f>IF(AND(G76=0,F76=0),0,(IF(AND(G76=0,F76&gt;0),1,(IF(AND(G76&gt;0,F76=0),0,IF(AND(G76&gt;0,F76&gt;0),0,1))))))</f>
        <v>0</v>
      </c>
    </row>
    <row r="77" spans="2:11" s="55" customFormat="1" ht="12">
      <c r="B77" s="837">
        <v>70</v>
      </c>
      <c r="C77" s="834" t="s">
        <v>529</v>
      </c>
      <c r="D77" s="835">
        <v>0</v>
      </c>
      <c r="E77" s="835">
        <v>0</v>
      </c>
      <c r="F77" s="835">
        <v>0</v>
      </c>
      <c r="G77" s="835">
        <v>0</v>
      </c>
      <c r="H77" s="840"/>
      <c r="I77" s="840">
        <f>IF(AND(E77=0,D77=0),0,(IF(AND(E77=0,D77&gt;0),1,(IF(AND(E77&gt;0,D77=0),0,IF(AND(E77&gt;0,D77&gt;0),0,1))))))</f>
        <v>0</v>
      </c>
      <c r="J77" s="840">
        <f>IF(AND(F77=0,E77=0),0,(IF(AND(F77=0,E77&gt;0),1,(IF(AND(F77&gt;0,E77=0),0,IF(AND(F77&gt;0,E77&gt;0),0,1))))))</f>
        <v>0</v>
      </c>
      <c r="K77" s="841">
        <f>IF(AND(G77=0,F77=0),0,(IF(AND(G77=0,F77&gt;0),1,(IF(AND(G77&gt;0,F77=0),0,IF(AND(G77&gt;0,F77&gt;0),0,1))))))</f>
        <v>0</v>
      </c>
    </row>
    <row r="78" spans="2:11" s="55" customFormat="1" ht="12">
      <c r="B78" s="837">
        <v>71</v>
      </c>
      <c r="C78" s="834" t="s">
        <v>530</v>
      </c>
      <c r="D78" s="835">
        <v>0</v>
      </c>
      <c r="E78" s="835">
        <v>46476.13</v>
      </c>
      <c r="F78" s="835">
        <v>362030.9</v>
      </c>
      <c r="G78" s="835">
        <v>244399.08</v>
      </c>
      <c r="H78" s="840"/>
      <c r="I78" s="840">
        <f>IF(AND(E78=0,D78=0),0,(IF(AND(E78=0,D78&gt;0),1,(IF(AND(E78&gt;0,D78=0),0,IF(AND(E78&gt;0,D78&gt;0),0,1))))))</f>
        <v>0</v>
      </c>
      <c r="J78" s="840">
        <f>IF(AND(F78=0,E78=0),0,(IF(AND(F78=0,E78&gt;0),1,(IF(AND(F78&gt;0,E78=0),0,IF(AND(F78&gt;0,E78&gt;0),0,1))))))</f>
        <v>0</v>
      </c>
      <c r="K78" s="841">
        <f>IF(AND(G78=0,F78=0),0,(IF(AND(G78=0,F78&gt;0),1,(IF(AND(G78&gt;0,F78=0),0,IF(AND(G78&gt;0,F78&gt;0),0,1))))))</f>
        <v>0</v>
      </c>
    </row>
    <row r="79" spans="2:11" s="55" customFormat="1" ht="12">
      <c r="B79" s="837">
        <v>72</v>
      </c>
      <c r="C79" s="834" t="s">
        <v>531</v>
      </c>
      <c r="D79" s="835">
        <v>0</v>
      </c>
      <c r="E79" s="835">
        <v>0</v>
      </c>
      <c r="F79" s="835">
        <v>0</v>
      </c>
      <c r="G79" s="835">
        <v>0</v>
      </c>
      <c r="H79" s="840"/>
      <c r="I79" s="840">
        <f>IF(AND(E79=0,D79=0),0,(IF(AND(E79=0,D79&gt;0),1,(IF(AND(E79&gt;0,D79=0),0,IF(AND(E79&gt;0,D79&gt;0),0,1))))))</f>
        <v>0</v>
      </c>
      <c r="J79" s="840">
        <f>IF(AND(F79=0,E79=0),0,(IF(AND(F79=0,E79&gt;0),1,(IF(AND(F79&gt;0,E79=0),0,IF(AND(F79&gt;0,E79&gt;0),0,1))))))</f>
        <v>0</v>
      </c>
      <c r="K79" s="841">
        <f>IF(AND(G79=0,F79=0),0,(IF(AND(G79=0,F79&gt;0),1,(IF(AND(G79&gt;0,F79=0),0,IF(AND(G79&gt;0,F79&gt;0),0,1))))))</f>
        <v>0</v>
      </c>
    </row>
    <row r="80" spans="2:11" s="55" customFormat="1" ht="12">
      <c r="B80" s="837">
        <v>73</v>
      </c>
      <c r="C80" s="834" t="s">
        <v>532</v>
      </c>
      <c r="D80" s="835">
        <v>20455.060000000001</v>
      </c>
      <c r="E80" s="835">
        <v>4756</v>
      </c>
      <c r="F80" s="835">
        <v>-4.5</v>
      </c>
      <c r="G80" s="835">
        <v>103704.47</v>
      </c>
      <c r="H80" s="840"/>
      <c r="I80" s="840">
        <f>IF(AND(E80=0,D80=0),0,(IF(AND(E80=0,D80&gt;0),1,(IF(AND(E80&gt;0,D80=0),0,IF(AND(E80&gt;0,D80&gt;0),0,1))))))</f>
        <v>0</v>
      </c>
      <c r="J80" s="840">
        <f>IF(AND(F80=0,E80=0),0,(IF(AND(F80=0,E80&gt;0),1,(IF(AND(F80&gt;0,E80=0),0,IF(AND(F80&gt;0,E80&gt;0),0,1))))))</f>
        <v>1</v>
      </c>
      <c r="K80" s="841">
        <f>IF(AND(G80=0,F80=0),0,(IF(AND(G80=0,F80&gt;0),1,(IF(AND(G80&gt;0,F80=0),0,IF(AND(G80&gt;0,F80&gt;0),0,1))))))</f>
        <v>1</v>
      </c>
    </row>
    <row r="81" spans="2:11" s="55" customFormat="1" ht="12">
      <c r="B81" s="837">
        <v>74</v>
      </c>
      <c r="C81" s="834" t="s">
        <v>533</v>
      </c>
      <c r="D81" s="835">
        <v>17302.240000000002</v>
      </c>
      <c r="E81" s="835">
        <v>6801.6</v>
      </c>
      <c r="F81" s="835">
        <v>5401.02</v>
      </c>
      <c r="G81" s="835">
        <v>4998.55</v>
      </c>
      <c r="H81" s="840"/>
      <c r="I81" s="840">
        <f>IF(AND(E81=0,D81=0),0,(IF(AND(E81=0,D81&gt;0),1,(IF(AND(E81&gt;0,D81=0),0,IF(AND(E81&gt;0,D81&gt;0),0,1))))))</f>
        <v>0</v>
      </c>
      <c r="J81" s="840">
        <f>IF(AND(F81=0,E81=0),0,(IF(AND(F81=0,E81&gt;0),1,(IF(AND(F81&gt;0,E81=0),0,IF(AND(F81&gt;0,E81&gt;0),0,1))))))</f>
        <v>0</v>
      </c>
      <c r="K81" s="841">
        <f>IF(AND(G81=0,F81=0),0,(IF(AND(G81=0,F81&gt;0),1,(IF(AND(G81&gt;0,F81=0),0,IF(AND(G81&gt;0,F81&gt;0),0,1))))))</f>
        <v>0</v>
      </c>
    </row>
    <row r="82" spans="2:11" s="55" customFormat="1" ht="12">
      <c r="B82" s="837">
        <v>75</v>
      </c>
      <c r="C82" s="834" t="s">
        <v>534</v>
      </c>
      <c r="D82" s="835">
        <v>0</v>
      </c>
      <c r="E82" s="835">
        <v>0</v>
      </c>
      <c r="F82" s="835">
        <v>6830.62</v>
      </c>
      <c r="G82" s="835">
        <v>-6830.62</v>
      </c>
      <c r="H82" s="840"/>
      <c r="I82" s="840">
        <f>IF(AND(E82=0,D82=0),0,(IF(AND(E82=0,D82&gt;0),1,(IF(AND(E82&gt;0,D82=0),0,IF(AND(E82&gt;0,D82&gt;0),0,1))))))</f>
        <v>0</v>
      </c>
      <c r="J82" s="840">
        <f>IF(AND(F82=0,E82=0),0,(IF(AND(F82=0,E82&gt;0),1,(IF(AND(F82&gt;0,E82=0),0,IF(AND(F82&gt;0,E82&gt;0),0,1))))))</f>
        <v>0</v>
      </c>
      <c r="K82" s="841">
        <f>IF(AND(G82=0,F82=0),0,(IF(AND(G82=0,F82&gt;0),1,(IF(AND(G82&gt;0,F82=0),0,IF(AND(G82&gt;0,F82&gt;0),0,1))))))</f>
        <v>1</v>
      </c>
    </row>
    <row r="83" spans="2:11" s="55" customFormat="1" ht="12">
      <c r="B83" s="837">
        <v>76</v>
      </c>
      <c r="C83" s="834" t="s">
        <v>535</v>
      </c>
      <c r="D83" s="835">
        <v>37073.81</v>
      </c>
      <c r="E83" s="835">
        <v>57552.29</v>
      </c>
      <c r="F83" s="835">
        <v>19042.57</v>
      </c>
      <c r="G83" s="835">
        <v>13598.49</v>
      </c>
      <c r="H83" s="840"/>
      <c r="I83" s="840">
        <f>IF(AND(E83=0,D83=0),0,(IF(AND(E83=0,D83&gt;0),1,(IF(AND(E83&gt;0,D83=0),0,IF(AND(E83&gt;0,D83&gt;0),0,1))))))</f>
        <v>0</v>
      </c>
      <c r="J83" s="840">
        <f>IF(AND(F83=0,E83=0),0,(IF(AND(F83=0,E83&gt;0),1,(IF(AND(F83&gt;0,E83=0),0,IF(AND(F83&gt;0,E83&gt;0),0,1))))))</f>
        <v>0</v>
      </c>
      <c r="K83" s="841">
        <f>IF(AND(G83=0,F83=0),0,(IF(AND(G83=0,F83&gt;0),1,(IF(AND(G83&gt;0,F83=0),0,IF(AND(G83&gt;0,F83&gt;0),0,1))))))</f>
        <v>0</v>
      </c>
    </row>
    <row r="84" spans="2:11" s="55" customFormat="1" ht="12">
      <c r="B84" s="837">
        <v>77</v>
      </c>
      <c r="C84" s="834" t="s">
        <v>536</v>
      </c>
      <c r="D84" s="835">
        <v>0</v>
      </c>
      <c r="E84" s="835">
        <v>0</v>
      </c>
      <c r="F84" s="835">
        <v>4500</v>
      </c>
      <c r="G84" s="835">
        <v>0</v>
      </c>
      <c r="H84" s="840"/>
      <c r="I84" s="840">
        <f>IF(AND(E84=0,D84=0),0,(IF(AND(E84=0,D84&gt;0),1,(IF(AND(E84&gt;0,D84=0),0,IF(AND(E84&gt;0,D84&gt;0),0,1))))))</f>
        <v>0</v>
      </c>
      <c r="J84" s="840">
        <f>IF(AND(F84=0,E84=0),0,(IF(AND(F84=0,E84&gt;0),1,(IF(AND(F84&gt;0,E84=0),0,IF(AND(F84&gt;0,E84&gt;0),0,1))))))</f>
        <v>0</v>
      </c>
      <c r="K84" s="841">
        <f>IF(AND(G84=0,F84=0),0,(IF(AND(G84=0,F84&gt;0),1,(IF(AND(G84&gt;0,F84=0),0,IF(AND(G84&gt;0,F84&gt;0),0,1))))))</f>
        <v>1</v>
      </c>
    </row>
    <row r="85" spans="2:11" s="55" customFormat="1" ht="12">
      <c r="B85" s="837">
        <v>78</v>
      </c>
      <c r="C85" s="834" t="s">
        <v>537</v>
      </c>
      <c r="D85" s="835">
        <v>23732.34</v>
      </c>
      <c r="E85" s="835">
        <v>14351.46</v>
      </c>
      <c r="F85" s="835">
        <v>23971.09</v>
      </c>
      <c r="G85" s="835">
        <v>100496.75</v>
      </c>
      <c r="H85" s="840"/>
      <c r="I85" s="840">
        <f>IF(AND(E85=0,D85=0),0,(IF(AND(E85=0,D85&gt;0),1,(IF(AND(E85&gt;0,D85=0),0,IF(AND(E85&gt;0,D85&gt;0),0,1))))))</f>
        <v>0</v>
      </c>
      <c r="J85" s="840">
        <f>IF(AND(F85=0,E85=0),0,(IF(AND(F85=0,E85&gt;0),1,(IF(AND(F85&gt;0,E85=0),0,IF(AND(F85&gt;0,E85&gt;0),0,1))))))</f>
        <v>0</v>
      </c>
      <c r="K85" s="841">
        <f>IF(AND(G85=0,F85=0),0,(IF(AND(G85=0,F85&gt;0),1,(IF(AND(G85&gt;0,F85=0),0,IF(AND(G85&gt;0,F85&gt;0),0,1))))))</f>
        <v>0</v>
      </c>
    </row>
    <row r="86" spans="2:11" s="55" customFormat="1" ht="12">
      <c r="B86" s="837">
        <v>79</v>
      </c>
      <c r="C86" s="834" t="s">
        <v>538</v>
      </c>
      <c r="D86" s="835">
        <v>773638.86</v>
      </c>
      <c r="E86" s="835">
        <v>1075754.3</v>
      </c>
      <c r="F86" s="835">
        <v>1663836.38</v>
      </c>
      <c r="G86" s="835">
        <v>1740815.8</v>
      </c>
      <c r="H86" s="840"/>
      <c r="I86" s="840">
        <f>IF(AND(E86=0,D86=0),0,(IF(AND(E86=0,D86&gt;0),1,(IF(AND(E86&gt;0,D86=0),0,IF(AND(E86&gt;0,D86&gt;0),0,1))))))</f>
        <v>0</v>
      </c>
      <c r="J86" s="840">
        <f>IF(AND(F86=0,E86=0),0,(IF(AND(F86=0,E86&gt;0),1,(IF(AND(F86&gt;0,E86=0),0,IF(AND(F86&gt;0,E86&gt;0),0,1))))))</f>
        <v>0</v>
      </c>
      <c r="K86" s="841">
        <f>IF(AND(G86=0,F86=0),0,(IF(AND(G86=0,F86&gt;0),1,(IF(AND(G86&gt;0,F86=0),0,IF(AND(G86&gt;0,F86&gt;0),0,1))))))</f>
        <v>0</v>
      </c>
    </row>
    <row r="87" spans="2:11" s="55" customFormat="1" ht="12">
      <c r="B87" s="837">
        <v>80</v>
      </c>
      <c r="C87" s="834" t="s">
        <v>539</v>
      </c>
      <c r="D87" s="835">
        <v>169480.19</v>
      </c>
      <c r="E87" s="835">
        <v>229223.74</v>
      </c>
      <c r="F87" s="835">
        <v>388376.9</v>
      </c>
      <c r="G87" s="835">
        <v>264589.74</v>
      </c>
      <c r="H87" s="840"/>
      <c r="I87" s="840">
        <f>IF(AND(E87=0,D87=0),0,(IF(AND(E87=0,D87&gt;0),1,(IF(AND(E87&gt;0,D87=0),0,IF(AND(E87&gt;0,D87&gt;0),0,1))))))</f>
        <v>0</v>
      </c>
      <c r="J87" s="840">
        <f>IF(AND(F87=0,E87=0),0,(IF(AND(F87=0,E87&gt;0),1,(IF(AND(F87&gt;0,E87=0),0,IF(AND(F87&gt;0,E87&gt;0),0,1))))))</f>
        <v>0</v>
      </c>
      <c r="K87" s="841">
        <f>IF(AND(G87=0,F87=0),0,(IF(AND(G87=0,F87&gt;0),1,(IF(AND(G87&gt;0,F87=0),0,IF(AND(G87&gt;0,F87&gt;0),0,1))))))</f>
        <v>0</v>
      </c>
    </row>
    <row r="88" spans="2:11" s="55" customFormat="1" ht="12">
      <c r="B88" s="837">
        <v>81</v>
      </c>
      <c r="C88" s="834" t="s">
        <v>540</v>
      </c>
      <c r="D88" s="835">
        <v>9113.56</v>
      </c>
      <c r="E88" s="835">
        <v>3008.01</v>
      </c>
      <c r="F88" s="835">
        <v>513.11</v>
      </c>
      <c r="G88" s="835">
        <v>672.25</v>
      </c>
      <c r="H88" s="840"/>
      <c r="I88" s="840">
        <f>IF(AND(E88=0,D88=0),0,(IF(AND(E88=0,D88&gt;0),1,(IF(AND(E88&gt;0,D88=0),0,IF(AND(E88&gt;0,D88&gt;0),0,1))))))</f>
        <v>0</v>
      </c>
      <c r="J88" s="840">
        <f>IF(AND(F88=0,E88=0),0,(IF(AND(F88=0,E88&gt;0),1,(IF(AND(F88&gt;0,E88=0),0,IF(AND(F88&gt;0,E88&gt;0),0,1))))))</f>
        <v>0</v>
      </c>
      <c r="K88" s="841">
        <f>IF(AND(G88=0,F88=0),0,(IF(AND(G88=0,F88&gt;0),1,(IF(AND(G88&gt;0,F88=0),0,IF(AND(G88&gt;0,F88&gt;0),0,1))))))</f>
        <v>0</v>
      </c>
    </row>
    <row r="89" spans="2:11" ht="15.75" thickBot="1">
      <c r="B89" s="843"/>
      <c r="C89" s="609" t="s">
        <v>456</v>
      </c>
      <c r="D89" s="844">
        <f>COUNTIF(D8:D88,"&gt;0")</f>
        <v>57</v>
      </c>
      <c r="E89" s="844">
        <f>COUNTIF(E8:E88,"&gt;0")</f>
        <v>59</v>
      </c>
      <c r="F89" s="844">
        <f t="shared" ref="F89:G89" si="0">COUNTIF(F8:F88,"&gt;0")</f>
        <v>63</v>
      </c>
      <c r="G89" s="844">
        <f t="shared" si="0"/>
        <v>63</v>
      </c>
      <c r="H89" s="848"/>
      <c r="I89" s="848">
        <f>SUM(I8:I88)</f>
        <v>3</v>
      </c>
      <c r="J89" s="848">
        <f t="shared" ref="J89:K89" si="1">SUM(J8:J88)</f>
        <v>4</v>
      </c>
      <c r="K89" s="849">
        <f t="shared" si="1"/>
        <v>10</v>
      </c>
    </row>
    <row r="90" spans="2:11" ht="15.75" thickBot="1"/>
    <row r="91" spans="2:11">
      <c r="B91" s="836"/>
      <c r="C91" s="832"/>
      <c r="D91" s="832" t="str">
        <f>I7</f>
        <v>2017-2018</v>
      </c>
      <c r="E91" s="832" t="str">
        <f>J7</f>
        <v>2018-2019</v>
      </c>
      <c r="F91" s="833" t="str">
        <f>K7</f>
        <v>2019-2020</v>
      </c>
    </row>
    <row r="92" spans="2:11">
      <c r="B92" s="805" t="s">
        <v>457</v>
      </c>
      <c r="C92" s="186"/>
      <c r="D92" s="840">
        <f>I89</f>
        <v>3</v>
      </c>
      <c r="E92" s="840">
        <f>J89</f>
        <v>4</v>
      </c>
      <c r="F92" s="841">
        <f>K89</f>
        <v>10</v>
      </c>
    </row>
    <row r="93" spans="2:11" ht="15.75" thickBot="1">
      <c r="B93" s="810" t="s">
        <v>455</v>
      </c>
      <c r="C93" s="422"/>
      <c r="D93" s="842">
        <f>IFERROR(D92/D89,"n/a")</f>
        <v>5.2631578947368418E-2</v>
      </c>
      <c r="E93" s="842">
        <f>IFERROR(E92/E89,"n/a")</f>
        <v>6.7796610169491525E-2</v>
      </c>
      <c r="F93" s="830">
        <f>IFERROR(F92/F89,"n/a")</f>
        <v>0.15873015873015872</v>
      </c>
    </row>
    <row r="94" spans="2:11">
      <c r="B94" s="809"/>
      <c r="D94" s="611"/>
      <c r="E94" s="611"/>
      <c r="F94" s="611"/>
    </row>
    <row r="95" spans="2:11" ht="15.75" thickBot="1">
      <c r="B95" s="25" t="s">
        <v>541</v>
      </c>
      <c r="D95" s="25"/>
    </row>
    <row r="96" spans="2:11">
      <c r="B96" s="831" t="s">
        <v>542</v>
      </c>
      <c r="C96" s="838">
        <f>IFERROR(AVERAGE(D93:F93),"n/a")</f>
        <v>9.3052782615672888E-2</v>
      </c>
    </row>
    <row r="97" spans="2:3" ht="15.75" thickBot="1">
      <c r="B97" s="810" t="s">
        <v>543</v>
      </c>
      <c r="C97" s="839">
        <f>IFERROR(MEDIAN(D93:F93),"n/a")</f>
        <v>6.7796610169491525E-2</v>
      </c>
    </row>
  </sheetData>
  <pageMargins left="0.5" right="0.5" top="0.5" bottom="0.5" header="0.5" footer="0.5"/>
  <pageSetup scale="88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9"/>
  <sheetViews>
    <sheetView showGridLines="0" view="pageBreakPreview" zoomScale="90" zoomScaleNormal="100" zoomScaleSheetLayoutView="90" workbookViewId="0"/>
  </sheetViews>
  <sheetFormatPr defaultRowHeight="15"/>
  <cols>
    <col min="1" max="1" width="3.5703125" customWidth="1"/>
    <col min="2" max="2" width="7.5703125" customWidth="1"/>
    <col min="3" max="3" width="20.7109375" customWidth="1"/>
    <col min="4" max="7" width="10.7109375" customWidth="1"/>
    <col min="8" max="8" width="4.7109375" customWidth="1"/>
    <col min="9" max="11" width="8.7109375" customWidth="1"/>
    <col min="12" max="12" width="2.7109375" customWidth="1"/>
  </cols>
  <sheetData>
    <row r="1" spans="2:11" ht="15.75">
      <c r="B1" s="18" t="str">
        <f>Acq_name</f>
        <v>[Acq.Co. Holdings Ltd.]</v>
      </c>
      <c r="K1" s="34" t="str">
        <f>"Exhibit: "&amp;INDEX(TOC!$B$5:$E$136,MATCH($B$3,TOC!$E$5:$E$136,0),COLUMNS(TOC!H5))&amp;M1</f>
        <v>Exhibit: A</v>
      </c>
    </row>
    <row r="2" spans="2:11">
      <c r="B2" s="19" t="str">
        <f>Targ_name</f>
        <v>[ABC Corporation]</v>
      </c>
    </row>
    <row r="3" spans="2:11">
      <c r="B3" s="20" t="str">
        <f>TOC!E37</f>
        <v>Sales Attrition Calculation</v>
      </c>
    </row>
    <row r="4" spans="2:11">
      <c r="B4" s="25" t="str">
        <f>"Valuation as of "&amp;TEXT(Val_date,"DD MMMM YYYY")</f>
        <v>Valuation as of 31 March 2020</v>
      </c>
    </row>
    <row r="5" spans="2:11">
      <c r="B5" s="27" t="str">
        <f>'Key Inputs and Assumptions'!C24</f>
        <v>(in USD ‘000s unless specified otherwise)</v>
      </c>
    </row>
    <row r="6" spans="2:11" s="55" customFormat="1" ht="12"/>
    <row r="7" spans="2:11" s="55" customFormat="1" ht="12">
      <c r="B7" s="845" t="s">
        <v>544</v>
      </c>
      <c r="C7" s="846"/>
      <c r="D7" s="847">
        <v>0.9</v>
      </c>
    </row>
    <row r="8" spans="2:11" s="55" customFormat="1" ht="12.75" thickBot="1"/>
    <row r="9" spans="2:11" s="55" customFormat="1" ht="12">
      <c r="B9" s="836" t="s">
        <v>459</v>
      </c>
      <c r="C9" s="832" t="s">
        <v>458</v>
      </c>
      <c r="D9" s="832">
        <v>2017</v>
      </c>
      <c r="E9" s="832">
        <f>D9+1</f>
        <v>2018</v>
      </c>
      <c r="F9" s="832">
        <f>E9+1</f>
        <v>2019</v>
      </c>
      <c r="G9" s="832">
        <f>F9+1</f>
        <v>2020</v>
      </c>
      <c r="H9" s="832"/>
      <c r="I9" s="832" t="str">
        <f>D9&amp;"-"&amp;E9</f>
        <v>2017-2018</v>
      </c>
      <c r="J9" s="832" t="str">
        <f>E9&amp;"-"&amp;F9</f>
        <v>2018-2019</v>
      </c>
      <c r="K9" s="833" t="str">
        <f>F9&amp;"-"&amp;G9</f>
        <v>2019-2020</v>
      </c>
    </row>
    <row r="10" spans="2:11" s="55" customFormat="1" ht="12">
      <c r="B10" s="837">
        <v>1</v>
      </c>
      <c r="C10" s="834" t="s">
        <v>460</v>
      </c>
      <c r="D10" s="835">
        <v>73871.199999999997</v>
      </c>
      <c r="E10" s="835">
        <v>51406.91</v>
      </c>
      <c r="F10" s="835">
        <v>45300.26</v>
      </c>
      <c r="G10" s="835">
        <v>30535.99</v>
      </c>
      <c r="H10" s="840"/>
      <c r="I10" s="840">
        <f>IF(ABS(E10)&lt;=(ABS(D10)*(1-$D$7)),ABS(D10)-ABS(E10),0)</f>
        <v>0</v>
      </c>
      <c r="J10" s="840">
        <f t="shared" ref="J10:J73" si="0">IF(ABS(F10)&lt;=(ABS(E10)*(1-$D$7)),ABS(E10)-ABS(F10),0)</f>
        <v>0</v>
      </c>
      <c r="K10" s="841">
        <f t="shared" ref="K10:K73" si="1">IF(ABS(G10)&lt;=(ABS(F10)*(1-$D$7)),ABS(F10)-ABS(G10),0)</f>
        <v>0</v>
      </c>
    </row>
    <row r="11" spans="2:11" s="55" customFormat="1" ht="12">
      <c r="B11" s="837">
        <v>2</v>
      </c>
      <c r="C11" s="834" t="s">
        <v>461</v>
      </c>
      <c r="D11" s="835">
        <v>44349.72</v>
      </c>
      <c r="E11" s="835">
        <v>35786.97</v>
      </c>
      <c r="F11" s="835">
        <v>137491.37</v>
      </c>
      <c r="G11" s="835">
        <v>94798.37</v>
      </c>
      <c r="H11" s="840"/>
      <c r="I11" s="840">
        <f t="shared" ref="I11:I74" si="2">IF(ABS(E11)&lt;=(ABS(D11)*(1-$D$7)),ABS(D11)-ABS(E11),0)</f>
        <v>0</v>
      </c>
      <c r="J11" s="840">
        <f t="shared" si="0"/>
        <v>0</v>
      </c>
      <c r="K11" s="841">
        <f t="shared" si="1"/>
        <v>0</v>
      </c>
    </row>
    <row r="12" spans="2:11" s="55" customFormat="1" ht="12">
      <c r="B12" s="837">
        <v>3</v>
      </c>
      <c r="C12" s="834" t="s">
        <v>462</v>
      </c>
      <c r="D12" s="835">
        <v>0</v>
      </c>
      <c r="E12" s="835">
        <v>0</v>
      </c>
      <c r="F12" s="835">
        <v>0</v>
      </c>
      <c r="G12" s="835">
        <v>41951.41</v>
      </c>
      <c r="H12" s="840"/>
      <c r="I12" s="840">
        <f t="shared" si="2"/>
        <v>0</v>
      </c>
      <c r="J12" s="840">
        <f t="shared" si="0"/>
        <v>0</v>
      </c>
      <c r="K12" s="841">
        <f t="shared" si="1"/>
        <v>0</v>
      </c>
    </row>
    <row r="13" spans="2:11" s="55" customFormat="1" ht="12">
      <c r="B13" s="837">
        <v>4</v>
      </c>
      <c r="C13" s="834" t="s">
        <v>463</v>
      </c>
      <c r="D13" s="835">
        <v>48133.56</v>
      </c>
      <c r="E13" s="835">
        <v>50116.49</v>
      </c>
      <c r="F13" s="835">
        <v>11114.27</v>
      </c>
      <c r="G13" s="835">
        <v>-12.33</v>
      </c>
      <c r="H13" s="840"/>
      <c r="I13" s="840">
        <f t="shared" si="2"/>
        <v>0</v>
      </c>
      <c r="J13" s="840">
        <f t="shared" si="0"/>
        <v>0</v>
      </c>
      <c r="K13" s="841">
        <f t="shared" si="1"/>
        <v>11101.94</v>
      </c>
    </row>
    <row r="14" spans="2:11" s="55" customFormat="1" ht="12">
      <c r="B14" s="837">
        <v>5</v>
      </c>
      <c r="C14" s="834" t="s">
        <v>464</v>
      </c>
      <c r="D14" s="835">
        <v>20.39</v>
      </c>
      <c r="E14" s="835">
        <v>117.56</v>
      </c>
      <c r="F14" s="835">
        <v>1956.87</v>
      </c>
      <c r="G14" s="835">
        <v>-97.27</v>
      </c>
      <c r="H14" s="840"/>
      <c r="I14" s="840">
        <f t="shared" si="2"/>
        <v>0</v>
      </c>
      <c r="J14" s="840">
        <f t="shared" si="0"/>
        <v>0</v>
      </c>
      <c r="K14" s="841">
        <f t="shared" si="1"/>
        <v>1859.6</v>
      </c>
    </row>
    <row r="15" spans="2:11" s="55" customFormat="1" ht="12">
      <c r="B15" s="837">
        <v>6</v>
      </c>
      <c r="C15" s="834" t="s">
        <v>465</v>
      </c>
      <c r="D15" s="835">
        <v>15053.57</v>
      </c>
      <c r="E15" s="835">
        <v>14034.03</v>
      </c>
      <c r="F15" s="835">
        <v>14478.39</v>
      </c>
      <c r="G15" s="835">
        <v>26484.37</v>
      </c>
      <c r="H15" s="840"/>
      <c r="I15" s="840">
        <f t="shared" si="2"/>
        <v>0</v>
      </c>
      <c r="J15" s="840">
        <f t="shared" si="0"/>
        <v>0</v>
      </c>
      <c r="K15" s="841">
        <f t="shared" si="1"/>
        <v>0</v>
      </c>
    </row>
    <row r="16" spans="2:11" s="55" customFormat="1" ht="12">
      <c r="B16" s="837">
        <v>7</v>
      </c>
      <c r="C16" s="834" t="s">
        <v>466</v>
      </c>
      <c r="D16" s="835">
        <v>256.5</v>
      </c>
      <c r="E16" s="835">
        <v>135326.6</v>
      </c>
      <c r="F16" s="835">
        <v>181333.01</v>
      </c>
      <c r="G16" s="835">
        <v>317122.78000000003</v>
      </c>
      <c r="H16" s="840"/>
      <c r="I16" s="840">
        <f t="shared" si="2"/>
        <v>0</v>
      </c>
      <c r="J16" s="840">
        <f t="shared" si="0"/>
        <v>0</v>
      </c>
      <c r="K16" s="841">
        <f t="shared" si="1"/>
        <v>0</v>
      </c>
    </row>
    <row r="17" spans="2:11" s="55" customFormat="1" ht="12">
      <c r="B17" s="837">
        <v>8</v>
      </c>
      <c r="C17" s="834" t="s">
        <v>467</v>
      </c>
      <c r="D17" s="835">
        <v>522772.03</v>
      </c>
      <c r="E17" s="835">
        <v>738536.72</v>
      </c>
      <c r="F17" s="835">
        <v>796915.85</v>
      </c>
      <c r="G17" s="835">
        <v>1234317.93</v>
      </c>
      <c r="H17" s="840"/>
      <c r="I17" s="840">
        <f t="shared" si="2"/>
        <v>0</v>
      </c>
      <c r="J17" s="840">
        <f t="shared" si="0"/>
        <v>0</v>
      </c>
      <c r="K17" s="841">
        <f t="shared" si="1"/>
        <v>0</v>
      </c>
    </row>
    <row r="18" spans="2:11" s="55" customFormat="1" ht="12">
      <c r="B18" s="837">
        <v>9</v>
      </c>
      <c r="C18" s="834" t="s">
        <v>468</v>
      </c>
      <c r="D18" s="835">
        <v>98259.14</v>
      </c>
      <c r="E18" s="835">
        <v>128824.22</v>
      </c>
      <c r="F18" s="835">
        <v>137805.4</v>
      </c>
      <c r="G18" s="835">
        <v>77002.5</v>
      </c>
      <c r="H18" s="840"/>
      <c r="I18" s="840">
        <f t="shared" si="2"/>
        <v>0</v>
      </c>
      <c r="J18" s="840">
        <f t="shared" si="0"/>
        <v>0</v>
      </c>
      <c r="K18" s="841">
        <f t="shared" si="1"/>
        <v>0</v>
      </c>
    </row>
    <row r="19" spans="2:11" s="55" customFormat="1" ht="12">
      <c r="B19" s="837">
        <v>10</v>
      </c>
      <c r="C19" s="834" t="s">
        <v>469</v>
      </c>
      <c r="D19" s="835">
        <v>159323.67000000001</v>
      </c>
      <c r="E19" s="835">
        <v>139626.85999999999</v>
      </c>
      <c r="F19" s="835">
        <v>164771.87</v>
      </c>
      <c r="G19" s="835">
        <v>593092.04</v>
      </c>
      <c r="H19" s="840"/>
      <c r="I19" s="840">
        <f t="shared" si="2"/>
        <v>0</v>
      </c>
      <c r="J19" s="840">
        <f t="shared" si="0"/>
        <v>0</v>
      </c>
      <c r="K19" s="841">
        <f t="shared" si="1"/>
        <v>0</v>
      </c>
    </row>
    <row r="20" spans="2:11" s="55" customFormat="1" ht="12">
      <c r="B20" s="837">
        <v>11</v>
      </c>
      <c r="C20" s="834" t="s">
        <v>470</v>
      </c>
      <c r="D20" s="835">
        <v>0</v>
      </c>
      <c r="E20" s="835">
        <v>0</v>
      </c>
      <c r="F20" s="835">
        <v>0</v>
      </c>
      <c r="G20" s="835">
        <v>89293.65</v>
      </c>
      <c r="H20" s="840"/>
      <c r="I20" s="840">
        <f t="shared" si="2"/>
        <v>0</v>
      </c>
      <c r="J20" s="840">
        <f t="shared" si="0"/>
        <v>0</v>
      </c>
      <c r="K20" s="841">
        <f t="shared" si="1"/>
        <v>0</v>
      </c>
    </row>
    <row r="21" spans="2:11" s="55" customFormat="1" ht="12">
      <c r="B21" s="837">
        <v>12</v>
      </c>
      <c r="C21" s="834" t="s">
        <v>471</v>
      </c>
      <c r="D21" s="835">
        <v>0</v>
      </c>
      <c r="E21" s="835">
        <v>0</v>
      </c>
      <c r="F21" s="835">
        <v>31658.58</v>
      </c>
      <c r="G21" s="835">
        <v>10373.5</v>
      </c>
      <c r="H21" s="840"/>
      <c r="I21" s="840">
        <f t="shared" si="2"/>
        <v>0</v>
      </c>
      <c r="J21" s="840">
        <f t="shared" si="0"/>
        <v>0</v>
      </c>
      <c r="K21" s="841">
        <f t="shared" si="1"/>
        <v>0</v>
      </c>
    </row>
    <row r="22" spans="2:11" s="55" customFormat="1" ht="12">
      <c r="B22" s="837">
        <v>13</v>
      </c>
      <c r="C22" s="834" t="s">
        <v>472</v>
      </c>
      <c r="D22" s="835">
        <v>68436.11</v>
      </c>
      <c r="E22" s="835">
        <v>319845.45</v>
      </c>
      <c r="F22" s="835">
        <v>488561.96</v>
      </c>
      <c r="G22" s="835">
        <v>290276.15000000002</v>
      </c>
      <c r="H22" s="840"/>
      <c r="I22" s="840">
        <f t="shared" si="2"/>
        <v>0</v>
      </c>
      <c r="J22" s="840">
        <f t="shared" si="0"/>
        <v>0</v>
      </c>
      <c r="K22" s="841">
        <f t="shared" si="1"/>
        <v>0</v>
      </c>
    </row>
    <row r="23" spans="2:11" s="55" customFormat="1" ht="12">
      <c r="B23" s="837">
        <v>14</v>
      </c>
      <c r="C23" s="834" t="s">
        <v>473</v>
      </c>
      <c r="D23" s="835">
        <v>5820920.3799999999</v>
      </c>
      <c r="E23" s="835">
        <v>6791322.1200000001</v>
      </c>
      <c r="F23" s="835">
        <v>7892795.4699999997</v>
      </c>
      <c r="G23" s="835">
        <v>8367011.6699999999</v>
      </c>
      <c r="H23" s="840"/>
      <c r="I23" s="840">
        <f t="shared" si="2"/>
        <v>0</v>
      </c>
      <c r="J23" s="840">
        <f t="shared" si="0"/>
        <v>0</v>
      </c>
      <c r="K23" s="841">
        <f t="shared" si="1"/>
        <v>0</v>
      </c>
    </row>
    <row r="24" spans="2:11" s="55" customFormat="1" ht="12">
      <c r="B24" s="837">
        <v>15</v>
      </c>
      <c r="C24" s="834" t="s">
        <v>474</v>
      </c>
      <c r="D24" s="835">
        <v>8310.4599999999991</v>
      </c>
      <c r="E24" s="835">
        <v>11950</v>
      </c>
      <c r="F24" s="835">
        <v>1105.6300000000001</v>
      </c>
      <c r="G24" s="835">
        <v>3557.92</v>
      </c>
      <c r="H24" s="840"/>
      <c r="I24" s="840">
        <f t="shared" si="2"/>
        <v>0</v>
      </c>
      <c r="J24" s="840">
        <f t="shared" si="0"/>
        <v>10844.369999999999</v>
      </c>
      <c r="K24" s="841">
        <f t="shared" si="1"/>
        <v>0</v>
      </c>
    </row>
    <row r="25" spans="2:11" s="55" customFormat="1" ht="12">
      <c r="B25" s="837">
        <v>16</v>
      </c>
      <c r="C25" s="834" t="s">
        <v>475</v>
      </c>
      <c r="D25" s="835">
        <v>308145</v>
      </c>
      <c r="E25" s="835">
        <v>194296.05</v>
      </c>
      <c r="F25" s="835">
        <v>149107.43</v>
      </c>
      <c r="G25" s="835">
        <v>186179.81</v>
      </c>
      <c r="H25" s="840"/>
      <c r="I25" s="840">
        <f t="shared" si="2"/>
        <v>0</v>
      </c>
      <c r="J25" s="840">
        <f t="shared" si="0"/>
        <v>0</v>
      </c>
      <c r="K25" s="841">
        <f t="shared" si="1"/>
        <v>0</v>
      </c>
    </row>
    <row r="26" spans="2:11" s="55" customFormat="1" ht="12">
      <c r="B26" s="837">
        <v>17</v>
      </c>
      <c r="C26" s="834" t="s">
        <v>476</v>
      </c>
      <c r="D26" s="835">
        <v>0</v>
      </c>
      <c r="E26" s="835">
        <v>0</v>
      </c>
      <c r="F26" s="835">
        <v>0</v>
      </c>
      <c r="G26" s="835">
        <v>0</v>
      </c>
      <c r="H26" s="840"/>
      <c r="I26" s="840">
        <f t="shared" si="2"/>
        <v>0</v>
      </c>
      <c r="J26" s="840">
        <f t="shared" si="0"/>
        <v>0</v>
      </c>
      <c r="K26" s="841">
        <f t="shared" si="1"/>
        <v>0</v>
      </c>
    </row>
    <row r="27" spans="2:11" s="55" customFormat="1" ht="12">
      <c r="B27" s="837">
        <v>18</v>
      </c>
      <c r="C27" s="834" t="s">
        <v>477</v>
      </c>
      <c r="D27" s="835">
        <v>255223.41</v>
      </c>
      <c r="E27" s="835">
        <v>369532.55</v>
      </c>
      <c r="F27" s="835">
        <v>360161.6</v>
      </c>
      <c r="G27" s="835">
        <v>272872.52</v>
      </c>
      <c r="H27" s="840"/>
      <c r="I27" s="840">
        <f t="shared" si="2"/>
        <v>0</v>
      </c>
      <c r="J27" s="840">
        <f t="shared" si="0"/>
        <v>0</v>
      </c>
      <c r="K27" s="841">
        <f t="shared" si="1"/>
        <v>0</v>
      </c>
    </row>
    <row r="28" spans="2:11" s="55" customFormat="1" ht="12">
      <c r="B28" s="837">
        <v>19</v>
      </c>
      <c r="C28" s="834" t="s">
        <v>478</v>
      </c>
      <c r="D28" s="835">
        <v>0</v>
      </c>
      <c r="E28" s="835">
        <v>0</v>
      </c>
      <c r="F28" s="835">
        <v>361017.49</v>
      </c>
      <c r="G28" s="835">
        <v>714139.32</v>
      </c>
      <c r="H28" s="840"/>
      <c r="I28" s="840">
        <f t="shared" si="2"/>
        <v>0</v>
      </c>
      <c r="J28" s="840">
        <f t="shared" si="0"/>
        <v>0</v>
      </c>
      <c r="K28" s="841">
        <f t="shared" si="1"/>
        <v>0</v>
      </c>
    </row>
    <row r="29" spans="2:11" s="55" customFormat="1" ht="12">
      <c r="B29" s="837">
        <v>20</v>
      </c>
      <c r="C29" s="834" t="s">
        <v>479</v>
      </c>
      <c r="D29" s="835">
        <v>109130.47</v>
      </c>
      <c r="E29" s="835">
        <v>126944.71</v>
      </c>
      <c r="F29" s="835">
        <v>96837.52</v>
      </c>
      <c r="G29" s="835">
        <v>61318.43</v>
      </c>
      <c r="H29" s="840"/>
      <c r="I29" s="840">
        <f t="shared" si="2"/>
        <v>0</v>
      </c>
      <c r="J29" s="840">
        <f t="shared" si="0"/>
        <v>0</v>
      </c>
      <c r="K29" s="841">
        <f t="shared" si="1"/>
        <v>0</v>
      </c>
    </row>
    <row r="30" spans="2:11" s="55" customFormat="1" ht="12">
      <c r="B30" s="837">
        <v>21</v>
      </c>
      <c r="C30" s="834" t="s">
        <v>480</v>
      </c>
      <c r="D30" s="835">
        <v>0</v>
      </c>
      <c r="E30" s="835">
        <v>0</v>
      </c>
      <c r="F30" s="835">
        <v>0</v>
      </c>
      <c r="G30" s="835">
        <v>51000</v>
      </c>
      <c r="H30" s="840"/>
      <c r="I30" s="840">
        <f t="shared" si="2"/>
        <v>0</v>
      </c>
      <c r="J30" s="840">
        <f t="shared" si="0"/>
        <v>0</v>
      </c>
      <c r="K30" s="841">
        <f t="shared" si="1"/>
        <v>0</v>
      </c>
    </row>
    <row r="31" spans="2:11" s="55" customFormat="1" ht="12">
      <c r="B31" s="837">
        <v>22</v>
      </c>
      <c r="C31" s="834" t="s">
        <v>481</v>
      </c>
      <c r="D31" s="835">
        <v>109807.34</v>
      </c>
      <c r="E31" s="835">
        <v>85976.14</v>
      </c>
      <c r="F31" s="835">
        <v>289862.46000000002</v>
      </c>
      <c r="G31" s="835">
        <v>1262198.57</v>
      </c>
      <c r="H31" s="840"/>
      <c r="I31" s="840">
        <f t="shared" si="2"/>
        <v>0</v>
      </c>
      <c r="J31" s="840">
        <f t="shared" si="0"/>
        <v>0</v>
      </c>
      <c r="K31" s="841">
        <f t="shared" si="1"/>
        <v>0</v>
      </c>
    </row>
    <row r="32" spans="2:11" s="55" customFormat="1" ht="12">
      <c r="B32" s="837">
        <v>23</v>
      </c>
      <c r="C32" s="834" t="s">
        <v>482</v>
      </c>
      <c r="D32" s="835">
        <v>46838.3</v>
      </c>
      <c r="E32" s="835">
        <v>37491.910000000003</v>
      </c>
      <c r="F32" s="835">
        <v>41388.89</v>
      </c>
      <c r="G32" s="835">
        <v>38060.67</v>
      </c>
      <c r="H32" s="840"/>
      <c r="I32" s="840">
        <f t="shared" si="2"/>
        <v>0</v>
      </c>
      <c r="J32" s="840">
        <f t="shared" si="0"/>
        <v>0</v>
      </c>
      <c r="K32" s="841">
        <f t="shared" si="1"/>
        <v>0</v>
      </c>
    </row>
    <row r="33" spans="2:11" s="55" customFormat="1" ht="12">
      <c r="B33" s="837">
        <v>24</v>
      </c>
      <c r="C33" s="834" t="s">
        <v>483</v>
      </c>
      <c r="D33" s="835">
        <v>99505.65</v>
      </c>
      <c r="E33" s="835">
        <v>63190.68</v>
      </c>
      <c r="F33" s="835">
        <v>48386.75</v>
      </c>
      <c r="G33" s="835">
        <v>4185.75</v>
      </c>
      <c r="H33" s="840"/>
      <c r="I33" s="840">
        <f t="shared" si="2"/>
        <v>0</v>
      </c>
      <c r="J33" s="840">
        <f t="shared" si="0"/>
        <v>0</v>
      </c>
      <c r="K33" s="841">
        <f t="shared" si="1"/>
        <v>44201</v>
      </c>
    </row>
    <row r="34" spans="2:11" s="55" customFormat="1" ht="12">
      <c r="B34" s="837">
        <v>25</v>
      </c>
      <c r="C34" s="834" t="s">
        <v>484</v>
      </c>
      <c r="D34" s="835">
        <v>22.5</v>
      </c>
      <c r="E34" s="835">
        <v>0</v>
      </c>
      <c r="F34" s="835">
        <v>0</v>
      </c>
      <c r="G34" s="835">
        <v>0</v>
      </c>
      <c r="H34" s="840"/>
      <c r="I34" s="840">
        <f t="shared" si="2"/>
        <v>22.5</v>
      </c>
      <c r="J34" s="840">
        <f t="shared" si="0"/>
        <v>0</v>
      </c>
      <c r="K34" s="841">
        <f t="shared" si="1"/>
        <v>0</v>
      </c>
    </row>
    <row r="35" spans="2:11" s="55" customFormat="1" ht="12">
      <c r="B35" s="837">
        <v>26</v>
      </c>
      <c r="C35" s="834" t="s">
        <v>485</v>
      </c>
      <c r="D35" s="835">
        <v>0</v>
      </c>
      <c r="E35" s="835">
        <v>0</v>
      </c>
      <c r="F35" s="835">
        <v>0</v>
      </c>
      <c r="G35" s="835">
        <v>0</v>
      </c>
      <c r="H35" s="840"/>
      <c r="I35" s="840">
        <f t="shared" si="2"/>
        <v>0</v>
      </c>
      <c r="J35" s="840">
        <f t="shared" si="0"/>
        <v>0</v>
      </c>
      <c r="K35" s="841">
        <f t="shared" si="1"/>
        <v>0</v>
      </c>
    </row>
    <row r="36" spans="2:11" s="55" customFormat="1" ht="12">
      <c r="B36" s="837">
        <v>27</v>
      </c>
      <c r="C36" s="834" t="s">
        <v>486</v>
      </c>
      <c r="D36" s="835">
        <v>0</v>
      </c>
      <c r="E36" s="835">
        <v>0</v>
      </c>
      <c r="F36" s="835">
        <v>0</v>
      </c>
      <c r="G36" s="835">
        <v>0</v>
      </c>
      <c r="H36" s="840"/>
      <c r="I36" s="840">
        <f t="shared" si="2"/>
        <v>0</v>
      </c>
      <c r="J36" s="840">
        <f t="shared" si="0"/>
        <v>0</v>
      </c>
      <c r="K36" s="841">
        <f t="shared" si="1"/>
        <v>0</v>
      </c>
    </row>
    <row r="37" spans="2:11" s="55" customFormat="1" ht="12">
      <c r="B37" s="837">
        <v>28</v>
      </c>
      <c r="C37" s="834" t="s">
        <v>487</v>
      </c>
      <c r="D37" s="835">
        <v>0</v>
      </c>
      <c r="E37" s="835">
        <v>39747.51</v>
      </c>
      <c r="F37" s="835">
        <v>26139.75</v>
      </c>
      <c r="G37" s="835">
        <v>47013.93</v>
      </c>
      <c r="H37" s="840"/>
      <c r="I37" s="840">
        <f t="shared" si="2"/>
        <v>0</v>
      </c>
      <c r="J37" s="840">
        <f t="shared" si="0"/>
        <v>0</v>
      </c>
      <c r="K37" s="841">
        <f t="shared" si="1"/>
        <v>0</v>
      </c>
    </row>
    <row r="38" spans="2:11" s="55" customFormat="1" ht="12">
      <c r="B38" s="837">
        <v>29</v>
      </c>
      <c r="C38" s="834" t="s">
        <v>488</v>
      </c>
      <c r="D38" s="835">
        <v>0</v>
      </c>
      <c r="E38" s="835">
        <v>0</v>
      </c>
      <c r="F38" s="835">
        <v>116937.95</v>
      </c>
      <c r="G38" s="835">
        <v>57150.87</v>
      </c>
      <c r="H38" s="840"/>
      <c r="I38" s="840">
        <f t="shared" si="2"/>
        <v>0</v>
      </c>
      <c r="J38" s="840">
        <f t="shared" si="0"/>
        <v>0</v>
      </c>
      <c r="K38" s="841">
        <f t="shared" si="1"/>
        <v>0</v>
      </c>
    </row>
    <row r="39" spans="2:11" s="55" customFormat="1" ht="12">
      <c r="B39" s="837">
        <v>30</v>
      </c>
      <c r="C39" s="834" t="s">
        <v>489</v>
      </c>
      <c r="D39" s="835">
        <v>74173.91</v>
      </c>
      <c r="E39" s="835">
        <v>21709.08</v>
      </c>
      <c r="F39" s="835">
        <v>118027.4</v>
      </c>
      <c r="G39" s="835">
        <v>667649.94999999995</v>
      </c>
      <c r="H39" s="840"/>
      <c r="I39" s="840">
        <f t="shared" si="2"/>
        <v>0</v>
      </c>
      <c r="J39" s="840">
        <f t="shared" si="0"/>
        <v>0</v>
      </c>
      <c r="K39" s="841">
        <f t="shared" si="1"/>
        <v>0</v>
      </c>
    </row>
    <row r="40" spans="2:11" s="55" customFormat="1" ht="12">
      <c r="B40" s="837">
        <v>31</v>
      </c>
      <c r="C40" s="834" t="s">
        <v>490</v>
      </c>
      <c r="D40" s="835">
        <v>0</v>
      </c>
      <c r="E40" s="835">
        <v>887203.53</v>
      </c>
      <c r="F40" s="835">
        <v>777736.09</v>
      </c>
      <c r="G40" s="835">
        <v>957765.54</v>
      </c>
      <c r="H40" s="840"/>
      <c r="I40" s="840">
        <f t="shared" si="2"/>
        <v>0</v>
      </c>
      <c r="J40" s="840">
        <f t="shared" si="0"/>
        <v>0</v>
      </c>
      <c r="K40" s="841">
        <f t="shared" si="1"/>
        <v>0</v>
      </c>
    </row>
    <row r="41" spans="2:11" s="55" customFormat="1" ht="12">
      <c r="B41" s="837">
        <v>32</v>
      </c>
      <c r="C41" s="834" t="s">
        <v>491</v>
      </c>
      <c r="D41" s="835">
        <v>61136.05</v>
      </c>
      <c r="E41" s="835">
        <v>49077.279999999999</v>
      </c>
      <c r="F41" s="835">
        <v>17216.169999999998</v>
      </c>
      <c r="G41" s="835">
        <v>-56.68</v>
      </c>
      <c r="H41" s="840"/>
      <c r="I41" s="840">
        <f t="shared" si="2"/>
        <v>0</v>
      </c>
      <c r="J41" s="840">
        <f t="shared" si="0"/>
        <v>0</v>
      </c>
      <c r="K41" s="841">
        <f t="shared" si="1"/>
        <v>17159.489999999998</v>
      </c>
    </row>
    <row r="42" spans="2:11" s="55" customFormat="1" ht="12">
      <c r="B42" s="837">
        <v>33</v>
      </c>
      <c r="C42" s="834" t="s">
        <v>492</v>
      </c>
      <c r="D42" s="835">
        <v>0</v>
      </c>
      <c r="E42" s="835">
        <v>0</v>
      </c>
      <c r="F42" s="835">
        <v>0</v>
      </c>
      <c r="G42" s="835">
        <v>63550.83</v>
      </c>
      <c r="H42" s="840"/>
      <c r="I42" s="840">
        <f t="shared" si="2"/>
        <v>0</v>
      </c>
      <c r="J42" s="840">
        <f t="shared" si="0"/>
        <v>0</v>
      </c>
      <c r="K42" s="841">
        <f t="shared" si="1"/>
        <v>0</v>
      </c>
    </row>
    <row r="43" spans="2:11" s="55" customFormat="1" ht="12">
      <c r="B43" s="837">
        <v>34</v>
      </c>
      <c r="C43" s="834" t="s">
        <v>493</v>
      </c>
      <c r="D43" s="835">
        <v>245653.58</v>
      </c>
      <c r="E43" s="835">
        <v>434113.1</v>
      </c>
      <c r="F43" s="835">
        <v>565321.22</v>
      </c>
      <c r="G43" s="835">
        <v>507610.57</v>
      </c>
      <c r="H43" s="840"/>
      <c r="I43" s="840">
        <f t="shared" si="2"/>
        <v>0</v>
      </c>
      <c r="J43" s="840">
        <f t="shared" si="0"/>
        <v>0</v>
      </c>
      <c r="K43" s="841">
        <f t="shared" si="1"/>
        <v>0</v>
      </c>
    </row>
    <row r="44" spans="2:11" s="55" customFormat="1" ht="12">
      <c r="B44" s="837">
        <v>35</v>
      </c>
      <c r="C44" s="834" t="s">
        <v>494</v>
      </c>
      <c r="D44" s="835">
        <v>0</v>
      </c>
      <c r="E44" s="835">
        <v>37250</v>
      </c>
      <c r="F44" s="835">
        <v>1213973.46</v>
      </c>
      <c r="G44" s="835">
        <v>2373498.15</v>
      </c>
      <c r="H44" s="840"/>
      <c r="I44" s="840">
        <f t="shared" si="2"/>
        <v>0</v>
      </c>
      <c r="J44" s="840">
        <f t="shared" si="0"/>
        <v>0</v>
      </c>
      <c r="K44" s="841">
        <f t="shared" si="1"/>
        <v>0</v>
      </c>
    </row>
    <row r="45" spans="2:11" s="55" customFormat="1" ht="12">
      <c r="B45" s="837">
        <v>36</v>
      </c>
      <c r="C45" s="834" t="s">
        <v>495</v>
      </c>
      <c r="D45" s="835">
        <v>0</v>
      </c>
      <c r="E45" s="835">
        <v>0</v>
      </c>
      <c r="F45" s="835">
        <v>0</v>
      </c>
      <c r="G45" s="835">
        <v>8250</v>
      </c>
      <c r="H45" s="840"/>
      <c r="I45" s="840">
        <f t="shared" si="2"/>
        <v>0</v>
      </c>
      <c r="J45" s="840">
        <f t="shared" si="0"/>
        <v>0</v>
      </c>
      <c r="K45" s="841">
        <f t="shared" si="1"/>
        <v>0</v>
      </c>
    </row>
    <row r="46" spans="2:11" s="55" customFormat="1" ht="12">
      <c r="B46" s="837">
        <v>37</v>
      </c>
      <c r="C46" s="834" t="s">
        <v>496</v>
      </c>
      <c r="D46" s="835">
        <v>1638794.54</v>
      </c>
      <c r="E46" s="835">
        <v>2376061.66</v>
      </c>
      <c r="F46" s="835">
        <v>3882099.62</v>
      </c>
      <c r="G46" s="835">
        <v>2880242.69</v>
      </c>
      <c r="H46" s="840"/>
      <c r="I46" s="840">
        <f t="shared" si="2"/>
        <v>0</v>
      </c>
      <c r="J46" s="840">
        <f t="shared" si="0"/>
        <v>0</v>
      </c>
      <c r="K46" s="841">
        <f t="shared" si="1"/>
        <v>0</v>
      </c>
    </row>
    <row r="47" spans="2:11" s="55" customFormat="1" ht="12">
      <c r="B47" s="837">
        <v>38</v>
      </c>
      <c r="C47" s="834" t="s">
        <v>497</v>
      </c>
      <c r="D47" s="835">
        <v>96813.2</v>
      </c>
      <c r="E47" s="835">
        <v>32070.12</v>
      </c>
      <c r="F47" s="835">
        <v>3402.47</v>
      </c>
      <c r="G47" s="835">
        <v>11462.93</v>
      </c>
      <c r="H47" s="840"/>
      <c r="I47" s="840">
        <f t="shared" si="2"/>
        <v>0</v>
      </c>
      <c r="J47" s="840">
        <f t="shared" si="0"/>
        <v>0</v>
      </c>
      <c r="K47" s="841">
        <f t="shared" si="1"/>
        <v>0</v>
      </c>
    </row>
    <row r="48" spans="2:11" s="55" customFormat="1" ht="12">
      <c r="B48" s="837">
        <v>39</v>
      </c>
      <c r="C48" s="834" t="s">
        <v>498</v>
      </c>
      <c r="D48" s="835">
        <v>209293.23</v>
      </c>
      <c r="E48" s="835">
        <v>106437.35</v>
      </c>
      <c r="F48" s="835">
        <v>170319.17</v>
      </c>
      <c r="G48" s="835">
        <v>61188.43</v>
      </c>
      <c r="H48" s="840"/>
      <c r="I48" s="840">
        <f t="shared" si="2"/>
        <v>0</v>
      </c>
      <c r="J48" s="840">
        <f t="shared" si="0"/>
        <v>0</v>
      </c>
      <c r="K48" s="841">
        <f t="shared" si="1"/>
        <v>0</v>
      </c>
    </row>
    <row r="49" spans="2:11" s="55" customFormat="1" ht="12">
      <c r="B49" s="837">
        <v>40</v>
      </c>
      <c r="C49" s="834" t="s">
        <v>499</v>
      </c>
      <c r="D49" s="835">
        <v>263574.92</v>
      </c>
      <c r="E49" s="835">
        <v>196549.87</v>
      </c>
      <c r="F49" s="835">
        <v>150840.09</v>
      </c>
      <c r="G49" s="835">
        <v>124335.54</v>
      </c>
      <c r="H49" s="840"/>
      <c r="I49" s="840">
        <f t="shared" si="2"/>
        <v>0</v>
      </c>
      <c r="J49" s="840">
        <f t="shared" si="0"/>
        <v>0</v>
      </c>
      <c r="K49" s="841">
        <f t="shared" si="1"/>
        <v>0</v>
      </c>
    </row>
    <row r="50" spans="2:11" s="55" customFormat="1" ht="12">
      <c r="B50" s="837">
        <v>41</v>
      </c>
      <c r="C50" s="834" t="s">
        <v>500</v>
      </c>
      <c r="D50" s="835">
        <v>770593.9</v>
      </c>
      <c r="E50" s="835">
        <v>1456935.71</v>
      </c>
      <c r="F50" s="835">
        <v>1771761.17</v>
      </c>
      <c r="G50" s="835">
        <v>1674428.25</v>
      </c>
      <c r="H50" s="840"/>
      <c r="I50" s="840">
        <f t="shared" si="2"/>
        <v>0</v>
      </c>
      <c r="J50" s="840">
        <f t="shared" si="0"/>
        <v>0</v>
      </c>
      <c r="K50" s="841">
        <f t="shared" si="1"/>
        <v>0</v>
      </c>
    </row>
    <row r="51" spans="2:11" s="55" customFormat="1" ht="12">
      <c r="B51" s="837">
        <v>42</v>
      </c>
      <c r="C51" s="834" t="s">
        <v>501</v>
      </c>
      <c r="D51" s="835">
        <v>0</v>
      </c>
      <c r="E51" s="835">
        <v>0</v>
      </c>
      <c r="F51" s="835">
        <v>38625.440000000002</v>
      </c>
      <c r="G51" s="835">
        <v>121636.95</v>
      </c>
      <c r="H51" s="840"/>
      <c r="I51" s="840">
        <f t="shared" si="2"/>
        <v>0</v>
      </c>
      <c r="J51" s="840">
        <f t="shared" si="0"/>
        <v>0</v>
      </c>
      <c r="K51" s="841">
        <f t="shared" si="1"/>
        <v>0</v>
      </c>
    </row>
    <row r="52" spans="2:11" s="55" customFormat="1" ht="12">
      <c r="B52" s="837">
        <v>43</v>
      </c>
      <c r="C52" s="834" t="s">
        <v>502</v>
      </c>
      <c r="D52" s="835">
        <v>129715.14</v>
      </c>
      <c r="E52" s="835">
        <v>121651.48</v>
      </c>
      <c r="F52" s="835">
        <v>87013.14</v>
      </c>
      <c r="G52" s="835">
        <v>111943.62</v>
      </c>
      <c r="H52" s="840"/>
      <c r="I52" s="840">
        <f t="shared" si="2"/>
        <v>0</v>
      </c>
      <c r="J52" s="840">
        <f t="shared" si="0"/>
        <v>0</v>
      </c>
      <c r="K52" s="841">
        <f t="shared" si="1"/>
        <v>0</v>
      </c>
    </row>
    <row r="53" spans="2:11" s="55" customFormat="1" ht="12">
      <c r="B53" s="837">
        <v>44</v>
      </c>
      <c r="C53" s="834" t="s">
        <v>503</v>
      </c>
      <c r="D53" s="835">
        <v>5040.51</v>
      </c>
      <c r="E53" s="835">
        <v>0</v>
      </c>
      <c r="F53" s="835">
        <v>0</v>
      </c>
      <c r="G53" s="835">
        <v>1713.17</v>
      </c>
      <c r="H53" s="840"/>
      <c r="I53" s="840">
        <f t="shared" si="2"/>
        <v>5040.51</v>
      </c>
      <c r="J53" s="840">
        <f t="shared" si="0"/>
        <v>0</v>
      </c>
      <c r="K53" s="841">
        <f t="shared" si="1"/>
        <v>0</v>
      </c>
    </row>
    <row r="54" spans="2:11" s="55" customFormat="1" ht="12">
      <c r="B54" s="837">
        <v>45</v>
      </c>
      <c r="C54" s="834" t="s">
        <v>504</v>
      </c>
      <c r="D54" s="835">
        <v>44859.23</v>
      </c>
      <c r="E54" s="835">
        <v>7524.44</v>
      </c>
      <c r="F54" s="835">
        <v>369.59</v>
      </c>
      <c r="G54" s="835">
        <v>54.76</v>
      </c>
      <c r="H54" s="840"/>
      <c r="I54" s="840">
        <f t="shared" si="2"/>
        <v>0</v>
      </c>
      <c r="J54" s="840">
        <f t="shared" si="0"/>
        <v>7154.8499999999995</v>
      </c>
      <c r="K54" s="841">
        <f t="shared" si="1"/>
        <v>0</v>
      </c>
    </row>
    <row r="55" spans="2:11" s="55" customFormat="1" ht="12">
      <c r="B55" s="837">
        <v>46</v>
      </c>
      <c r="C55" s="834" t="s">
        <v>505</v>
      </c>
      <c r="D55" s="835">
        <v>13986.17</v>
      </c>
      <c r="E55" s="835">
        <v>22322.86</v>
      </c>
      <c r="F55" s="835">
        <v>15273.04</v>
      </c>
      <c r="G55" s="835">
        <v>26403.85</v>
      </c>
      <c r="H55" s="840"/>
      <c r="I55" s="840">
        <f t="shared" si="2"/>
        <v>0</v>
      </c>
      <c r="J55" s="840">
        <f t="shared" si="0"/>
        <v>0</v>
      </c>
      <c r="K55" s="841">
        <f t="shared" si="1"/>
        <v>0</v>
      </c>
    </row>
    <row r="56" spans="2:11" s="55" customFormat="1" ht="12">
      <c r="B56" s="837">
        <v>47</v>
      </c>
      <c r="C56" s="834" t="s">
        <v>506</v>
      </c>
      <c r="D56" s="835">
        <v>116946.02</v>
      </c>
      <c r="E56" s="835">
        <v>399199.14</v>
      </c>
      <c r="F56" s="835">
        <v>681741.15</v>
      </c>
      <c r="G56" s="835">
        <v>477609.51</v>
      </c>
      <c r="H56" s="840"/>
      <c r="I56" s="840">
        <f t="shared" si="2"/>
        <v>0</v>
      </c>
      <c r="J56" s="840">
        <f t="shared" si="0"/>
        <v>0</v>
      </c>
      <c r="K56" s="841">
        <f t="shared" si="1"/>
        <v>0</v>
      </c>
    </row>
    <row r="57" spans="2:11" s="55" customFormat="1" ht="12">
      <c r="B57" s="837">
        <v>48</v>
      </c>
      <c r="C57" s="834" t="s">
        <v>507</v>
      </c>
      <c r="D57" s="835">
        <v>2198.5500000000002</v>
      </c>
      <c r="E57" s="835">
        <v>1857.69</v>
      </c>
      <c r="F57" s="835">
        <v>4800.16</v>
      </c>
      <c r="G57" s="835">
        <v>5634.44</v>
      </c>
      <c r="H57" s="840"/>
      <c r="I57" s="840">
        <f t="shared" si="2"/>
        <v>0</v>
      </c>
      <c r="J57" s="840">
        <f t="shared" si="0"/>
        <v>0</v>
      </c>
      <c r="K57" s="841">
        <f t="shared" si="1"/>
        <v>0</v>
      </c>
    </row>
    <row r="58" spans="2:11" s="55" customFormat="1" ht="12">
      <c r="B58" s="837">
        <v>49</v>
      </c>
      <c r="C58" s="834" t="s">
        <v>508</v>
      </c>
      <c r="D58" s="835">
        <v>61933.24</v>
      </c>
      <c r="E58" s="835">
        <v>433567.02</v>
      </c>
      <c r="F58" s="835">
        <v>517718.34</v>
      </c>
      <c r="G58" s="835">
        <v>599963.06999999995</v>
      </c>
      <c r="H58" s="840"/>
      <c r="I58" s="840">
        <f t="shared" si="2"/>
        <v>0</v>
      </c>
      <c r="J58" s="840">
        <f t="shared" si="0"/>
        <v>0</v>
      </c>
      <c r="K58" s="841">
        <f t="shared" si="1"/>
        <v>0</v>
      </c>
    </row>
    <row r="59" spans="2:11" s="55" customFormat="1" ht="12">
      <c r="B59" s="837">
        <v>50</v>
      </c>
      <c r="C59" s="834" t="s">
        <v>509</v>
      </c>
      <c r="D59" s="835">
        <v>211382.52</v>
      </c>
      <c r="E59" s="835">
        <v>256095.2</v>
      </c>
      <c r="F59" s="835">
        <v>236021.43</v>
      </c>
      <c r="G59" s="835">
        <v>220546.62</v>
      </c>
      <c r="H59" s="840"/>
      <c r="I59" s="840">
        <f t="shared" si="2"/>
        <v>0</v>
      </c>
      <c r="J59" s="840">
        <f t="shared" si="0"/>
        <v>0</v>
      </c>
      <c r="K59" s="841">
        <f t="shared" si="1"/>
        <v>0</v>
      </c>
    </row>
    <row r="60" spans="2:11" s="55" customFormat="1" ht="12">
      <c r="B60" s="837">
        <v>51</v>
      </c>
      <c r="C60" s="834" t="s">
        <v>510</v>
      </c>
      <c r="D60" s="835">
        <v>0</v>
      </c>
      <c r="E60" s="835">
        <v>0</v>
      </c>
      <c r="F60" s="835">
        <v>0</v>
      </c>
      <c r="G60" s="835">
        <v>0</v>
      </c>
      <c r="H60" s="840"/>
      <c r="I60" s="840">
        <f t="shared" si="2"/>
        <v>0</v>
      </c>
      <c r="J60" s="840">
        <f t="shared" si="0"/>
        <v>0</v>
      </c>
      <c r="K60" s="841">
        <f t="shared" si="1"/>
        <v>0</v>
      </c>
    </row>
    <row r="61" spans="2:11" s="55" customFormat="1" ht="12">
      <c r="B61" s="837">
        <v>52</v>
      </c>
      <c r="C61" s="834" t="s">
        <v>511</v>
      </c>
      <c r="D61" s="835">
        <v>7630</v>
      </c>
      <c r="E61" s="835">
        <v>2.5</v>
      </c>
      <c r="F61" s="835">
        <v>0</v>
      </c>
      <c r="G61" s="835">
        <v>0</v>
      </c>
      <c r="H61" s="840"/>
      <c r="I61" s="840">
        <f t="shared" si="2"/>
        <v>7627.5</v>
      </c>
      <c r="J61" s="840">
        <f t="shared" si="0"/>
        <v>2.5</v>
      </c>
      <c r="K61" s="841">
        <f t="shared" si="1"/>
        <v>0</v>
      </c>
    </row>
    <row r="62" spans="2:11" s="55" customFormat="1" ht="12">
      <c r="B62" s="837">
        <v>53</v>
      </c>
      <c r="C62" s="834" t="s">
        <v>512</v>
      </c>
      <c r="D62" s="835">
        <v>37766.050000000003</v>
      </c>
      <c r="E62" s="835">
        <v>49846.16</v>
      </c>
      <c r="F62" s="835">
        <v>72255.17</v>
      </c>
      <c r="G62" s="835">
        <v>76679.600000000006</v>
      </c>
      <c r="H62" s="840"/>
      <c r="I62" s="840">
        <f t="shared" si="2"/>
        <v>0</v>
      </c>
      <c r="J62" s="840">
        <f t="shared" si="0"/>
        <v>0</v>
      </c>
      <c r="K62" s="841">
        <f t="shared" si="1"/>
        <v>0</v>
      </c>
    </row>
    <row r="63" spans="2:11" s="55" customFormat="1" ht="12">
      <c r="B63" s="837">
        <v>54</v>
      </c>
      <c r="C63" s="834" t="s">
        <v>513</v>
      </c>
      <c r="D63" s="835">
        <v>59000</v>
      </c>
      <c r="E63" s="835">
        <v>6297.61</v>
      </c>
      <c r="F63" s="835">
        <v>2037.32</v>
      </c>
      <c r="G63" s="835">
        <v>0</v>
      </c>
      <c r="H63" s="840"/>
      <c r="I63" s="840">
        <f t="shared" si="2"/>
        <v>0</v>
      </c>
      <c r="J63" s="840">
        <f t="shared" si="0"/>
        <v>0</v>
      </c>
      <c r="K63" s="841">
        <f t="shared" si="1"/>
        <v>2037.32</v>
      </c>
    </row>
    <row r="64" spans="2:11" s="55" customFormat="1" ht="12">
      <c r="B64" s="837">
        <v>55</v>
      </c>
      <c r="C64" s="834" t="s">
        <v>514</v>
      </c>
      <c r="D64" s="835">
        <v>131605.57999999999</v>
      </c>
      <c r="E64" s="835">
        <v>123855.67</v>
      </c>
      <c r="F64" s="835">
        <v>200009.57</v>
      </c>
      <c r="G64" s="835">
        <v>775182.63</v>
      </c>
      <c r="H64" s="840"/>
      <c r="I64" s="840">
        <f t="shared" si="2"/>
        <v>0</v>
      </c>
      <c r="J64" s="840">
        <f t="shared" si="0"/>
        <v>0</v>
      </c>
      <c r="K64" s="841">
        <f t="shared" si="1"/>
        <v>0</v>
      </c>
    </row>
    <row r="65" spans="2:11" s="55" customFormat="1" ht="12">
      <c r="B65" s="837">
        <v>56</v>
      </c>
      <c r="C65" s="834" t="s">
        <v>515</v>
      </c>
      <c r="D65" s="835">
        <v>123691</v>
      </c>
      <c r="E65" s="835">
        <v>102823.36</v>
      </c>
      <c r="F65" s="835">
        <v>214596.14</v>
      </c>
      <c r="G65" s="835">
        <v>318514.65999999997</v>
      </c>
      <c r="H65" s="840"/>
      <c r="I65" s="840">
        <f t="shared" si="2"/>
        <v>0</v>
      </c>
      <c r="J65" s="840">
        <f t="shared" si="0"/>
        <v>0</v>
      </c>
      <c r="K65" s="841">
        <f t="shared" si="1"/>
        <v>0</v>
      </c>
    </row>
    <row r="66" spans="2:11" s="55" customFormat="1" ht="12">
      <c r="B66" s="837">
        <v>57</v>
      </c>
      <c r="C66" s="834" t="s">
        <v>516</v>
      </c>
      <c r="D66" s="835">
        <v>306</v>
      </c>
      <c r="E66" s="835">
        <v>0</v>
      </c>
      <c r="F66" s="835">
        <v>0</v>
      </c>
      <c r="G66" s="835">
        <v>0</v>
      </c>
      <c r="H66" s="840"/>
      <c r="I66" s="840">
        <f t="shared" si="2"/>
        <v>306</v>
      </c>
      <c r="J66" s="840">
        <f t="shared" si="0"/>
        <v>0</v>
      </c>
      <c r="K66" s="841">
        <f t="shared" si="1"/>
        <v>0</v>
      </c>
    </row>
    <row r="67" spans="2:11" s="55" customFormat="1" ht="12">
      <c r="B67" s="837">
        <v>58</v>
      </c>
      <c r="C67" s="834" t="s">
        <v>517</v>
      </c>
      <c r="D67" s="835">
        <v>303084.45</v>
      </c>
      <c r="E67" s="835">
        <v>131716.6</v>
      </c>
      <c r="F67" s="835">
        <v>60741.47</v>
      </c>
      <c r="G67" s="835">
        <v>32083.72</v>
      </c>
      <c r="H67" s="840"/>
      <c r="I67" s="840">
        <f t="shared" si="2"/>
        <v>0</v>
      </c>
      <c r="J67" s="840">
        <f t="shared" si="0"/>
        <v>0</v>
      </c>
      <c r="K67" s="841">
        <f t="shared" si="1"/>
        <v>0</v>
      </c>
    </row>
    <row r="68" spans="2:11" s="55" customFormat="1" ht="12">
      <c r="B68" s="837">
        <v>59</v>
      </c>
      <c r="C68" s="834" t="s">
        <v>518</v>
      </c>
      <c r="D68" s="835">
        <v>157.5</v>
      </c>
      <c r="E68" s="835">
        <v>31.5</v>
      </c>
      <c r="F68" s="835">
        <v>33317.769999999997</v>
      </c>
      <c r="G68" s="835">
        <v>48382.93</v>
      </c>
      <c r="H68" s="840"/>
      <c r="I68" s="840">
        <f t="shared" si="2"/>
        <v>0</v>
      </c>
      <c r="J68" s="840">
        <f t="shared" si="0"/>
        <v>0</v>
      </c>
      <c r="K68" s="841">
        <f t="shared" si="1"/>
        <v>0</v>
      </c>
    </row>
    <row r="69" spans="2:11" s="55" customFormat="1" ht="12">
      <c r="B69" s="837">
        <v>60</v>
      </c>
      <c r="C69" s="834" t="s">
        <v>519</v>
      </c>
      <c r="D69" s="835">
        <v>6000</v>
      </c>
      <c r="E69" s="835">
        <v>3000</v>
      </c>
      <c r="F69" s="835">
        <v>0</v>
      </c>
      <c r="G69" s="835">
        <v>0</v>
      </c>
      <c r="H69" s="840"/>
      <c r="I69" s="840">
        <f t="shared" si="2"/>
        <v>0</v>
      </c>
      <c r="J69" s="840">
        <f t="shared" si="0"/>
        <v>3000</v>
      </c>
      <c r="K69" s="841">
        <f t="shared" si="1"/>
        <v>0</v>
      </c>
    </row>
    <row r="70" spans="2:11" s="55" customFormat="1" ht="12">
      <c r="B70" s="837">
        <v>61</v>
      </c>
      <c r="C70" s="834" t="s">
        <v>520</v>
      </c>
      <c r="D70" s="835">
        <v>1734626.65</v>
      </c>
      <c r="E70" s="835">
        <v>1419077.82</v>
      </c>
      <c r="F70" s="835">
        <v>1637419.58</v>
      </c>
      <c r="G70" s="835">
        <v>2320014.44</v>
      </c>
      <c r="H70" s="840"/>
      <c r="I70" s="840">
        <f t="shared" si="2"/>
        <v>0</v>
      </c>
      <c r="J70" s="840">
        <f t="shared" si="0"/>
        <v>0</v>
      </c>
      <c r="K70" s="841">
        <f t="shared" si="1"/>
        <v>0</v>
      </c>
    </row>
    <row r="71" spans="2:11" s="55" customFormat="1" ht="12">
      <c r="B71" s="837">
        <v>62</v>
      </c>
      <c r="C71" s="834" t="s">
        <v>521</v>
      </c>
      <c r="D71" s="835">
        <v>0</v>
      </c>
      <c r="E71" s="835">
        <v>30084.76</v>
      </c>
      <c r="F71" s="835">
        <v>9359.76</v>
      </c>
      <c r="G71" s="835">
        <v>102.13</v>
      </c>
      <c r="H71" s="840"/>
      <c r="I71" s="840">
        <f t="shared" si="2"/>
        <v>0</v>
      </c>
      <c r="J71" s="840">
        <f t="shared" si="0"/>
        <v>0</v>
      </c>
      <c r="K71" s="841">
        <f t="shared" si="1"/>
        <v>9257.630000000001</v>
      </c>
    </row>
    <row r="72" spans="2:11" s="55" customFormat="1" ht="12">
      <c r="B72" s="837">
        <v>63</v>
      </c>
      <c r="C72" s="834" t="s">
        <v>522</v>
      </c>
      <c r="D72" s="835">
        <v>0</v>
      </c>
      <c r="E72" s="835">
        <v>0</v>
      </c>
      <c r="F72" s="835">
        <v>377202.1</v>
      </c>
      <c r="G72" s="835">
        <v>368669.18</v>
      </c>
      <c r="H72" s="840"/>
      <c r="I72" s="840">
        <f t="shared" si="2"/>
        <v>0</v>
      </c>
      <c r="J72" s="840">
        <f t="shared" si="0"/>
        <v>0</v>
      </c>
      <c r="K72" s="841">
        <f t="shared" si="1"/>
        <v>0</v>
      </c>
    </row>
    <row r="73" spans="2:11" s="55" customFormat="1" ht="12">
      <c r="B73" s="837">
        <v>64</v>
      </c>
      <c r="C73" s="834" t="s">
        <v>523</v>
      </c>
      <c r="D73" s="835">
        <v>463762.7</v>
      </c>
      <c r="E73" s="835">
        <v>361145.05</v>
      </c>
      <c r="F73" s="835">
        <v>423962.12</v>
      </c>
      <c r="G73" s="835">
        <v>704598.93</v>
      </c>
      <c r="H73" s="840"/>
      <c r="I73" s="840">
        <f t="shared" si="2"/>
        <v>0</v>
      </c>
      <c r="J73" s="840">
        <f t="shared" si="0"/>
        <v>0</v>
      </c>
      <c r="K73" s="841">
        <f t="shared" si="1"/>
        <v>0</v>
      </c>
    </row>
    <row r="74" spans="2:11" s="55" customFormat="1" ht="12">
      <c r="B74" s="837">
        <v>65</v>
      </c>
      <c r="C74" s="834" t="s">
        <v>524</v>
      </c>
      <c r="D74" s="835">
        <v>0</v>
      </c>
      <c r="E74" s="835">
        <v>0</v>
      </c>
      <c r="F74" s="835">
        <v>1110</v>
      </c>
      <c r="G74" s="835">
        <v>0</v>
      </c>
      <c r="H74" s="840"/>
      <c r="I74" s="840">
        <f t="shared" si="2"/>
        <v>0</v>
      </c>
      <c r="J74" s="840">
        <f t="shared" ref="J74:J90" si="3">IF(ABS(F74)&lt;=(ABS(E74)*(1-$D$7)),ABS(E74)-ABS(F74),0)</f>
        <v>0</v>
      </c>
      <c r="K74" s="841">
        <f t="shared" ref="K74:K90" si="4">IF(ABS(G74)&lt;=(ABS(F74)*(1-$D$7)),ABS(F74)-ABS(G74),0)</f>
        <v>1110</v>
      </c>
    </row>
    <row r="75" spans="2:11" s="55" customFormat="1" ht="12">
      <c r="B75" s="837">
        <v>66</v>
      </c>
      <c r="C75" s="834" t="s">
        <v>525</v>
      </c>
      <c r="D75" s="835">
        <v>89156.32</v>
      </c>
      <c r="E75" s="835">
        <v>12222.08</v>
      </c>
      <c r="F75" s="835">
        <v>131.25</v>
      </c>
      <c r="G75" s="835">
        <v>0</v>
      </c>
      <c r="H75" s="840"/>
      <c r="I75" s="840">
        <f t="shared" ref="I75:I90" si="5">IF(ABS(E75)&lt;=(ABS(D75)*(1-$D$7)),ABS(D75)-ABS(E75),0)</f>
        <v>0</v>
      </c>
      <c r="J75" s="840">
        <f t="shared" si="3"/>
        <v>12090.83</v>
      </c>
      <c r="K75" s="841">
        <f t="shared" si="4"/>
        <v>131.25</v>
      </c>
    </row>
    <row r="76" spans="2:11" s="55" customFormat="1" ht="12">
      <c r="B76" s="837">
        <v>67</v>
      </c>
      <c r="C76" s="834" t="s">
        <v>526</v>
      </c>
      <c r="D76" s="835">
        <v>23238.469999999998</v>
      </c>
      <c r="E76" s="835">
        <v>3653.84</v>
      </c>
      <c r="F76" s="835">
        <v>-666.47</v>
      </c>
      <c r="G76" s="835">
        <v>17540.57</v>
      </c>
      <c r="H76" s="840"/>
      <c r="I76" s="840">
        <f t="shared" si="5"/>
        <v>0</v>
      </c>
      <c r="J76" s="840">
        <f t="shared" si="3"/>
        <v>0</v>
      </c>
      <c r="K76" s="841">
        <f t="shared" si="4"/>
        <v>0</v>
      </c>
    </row>
    <row r="77" spans="2:11" s="55" customFormat="1" ht="12">
      <c r="B77" s="837">
        <v>68</v>
      </c>
      <c r="C77" s="834" t="s">
        <v>527</v>
      </c>
      <c r="D77" s="835">
        <v>37999.480000000003</v>
      </c>
      <c r="E77" s="835">
        <v>62108.04</v>
      </c>
      <c r="F77" s="835">
        <v>42246.16</v>
      </c>
      <c r="G77" s="835">
        <v>59986.17</v>
      </c>
      <c r="H77" s="840"/>
      <c r="I77" s="840">
        <f t="shared" si="5"/>
        <v>0</v>
      </c>
      <c r="J77" s="840">
        <f t="shared" si="3"/>
        <v>0</v>
      </c>
      <c r="K77" s="841">
        <f t="shared" si="4"/>
        <v>0</v>
      </c>
    </row>
    <row r="78" spans="2:11" s="55" customFormat="1" ht="12">
      <c r="B78" s="837">
        <v>69</v>
      </c>
      <c r="C78" s="834" t="s">
        <v>528</v>
      </c>
      <c r="D78" s="835">
        <v>205904.48</v>
      </c>
      <c r="E78" s="835">
        <v>182793.35</v>
      </c>
      <c r="F78" s="835">
        <v>712103.76</v>
      </c>
      <c r="G78" s="835">
        <v>1327997.57</v>
      </c>
      <c r="H78" s="840"/>
      <c r="I78" s="840">
        <f t="shared" si="5"/>
        <v>0</v>
      </c>
      <c r="J78" s="840">
        <f t="shared" si="3"/>
        <v>0</v>
      </c>
      <c r="K78" s="841">
        <f t="shared" si="4"/>
        <v>0</v>
      </c>
    </row>
    <row r="79" spans="2:11" s="55" customFormat="1" ht="12">
      <c r="B79" s="837">
        <v>70</v>
      </c>
      <c r="C79" s="834" t="s">
        <v>529</v>
      </c>
      <c r="D79" s="835">
        <v>0</v>
      </c>
      <c r="E79" s="835">
        <v>0</v>
      </c>
      <c r="F79" s="835">
        <v>0</v>
      </c>
      <c r="G79" s="835">
        <v>0</v>
      </c>
      <c r="H79" s="840"/>
      <c r="I79" s="840">
        <f t="shared" si="5"/>
        <v>0</v>
      </c>
      <c r="J79" s="840">
        <f t="shared" si="3"/>
        <v>0</v>
      </c>
      <c r="K79" s="841">
        <f t="shared" si="4"/>
        <v>0</v>
      </c>
    </row>
    <row r="80" spans="2:11" s="55" customFormat="1" ht="12">
      <c r="B80" s="837">
        <v>71</v>
      </c>
      <c r="C80" s="834" t="s">
        <v>530</v>
      </c>
      <c r="D80" s="835">
        <v>0</v>
      </c>
      <c r="E80" s="835">
        <v>46476.13</v>
      </c>
      <c r="F80" s="835">
        <v>362030.9</v>
      </c>
      <c r="G80" s="835">
        <v>244399.08</v>
      </c>
      <c r="H80" s="840"/>
      <c r="I80" s="840">
        <f t="shared" si="5"/>
        <v>0</v>
      </c>
      <c r="J80" s="840">
        <f t="shared" si="3"/>
        <v>0</v>
      </c>
      <c r="K80" s="841">
        <f t="shared" si="4"/>
        <v>0</v>
      </c>
    </row>
    <row r="81" spans="2:11" s="55" customFormat="1" ht="12">
      <c r="B81" s="837">
        <v>72</v>
      </c>
      <c r="C81" s="834" t="s">
        <v>531</v>
      </c>
      <c r="D81" s="835">
        <v>0</v>
      </c>
      <c r="E81" s="835">
        <v>0</v>
      </c>
      <c r="F81" s="835">
        <v>0</v>
      </c>
      <c r="G81" s="835">
        <v>0</v>
      </c>
      <c r="H81" s="840"/>
      <c r="I81" s="840">
        <f t="shared" si="5"/>
        <v>0</v>
      </c>
      <c r="J81" s="840">
        <f t="shared" si="3"/>
        <v>0</v>
      </c>
      <c r="K81" s="841">
        <f t="shared" si="4"/>
        <v>0</v>
      </c>
    </row>
    <row r="82" spans="2:11" s="55" customFormat="1" ht="12">
      <c r="B82" s="837">
        <v>73</v>
      </c>
      <c r="C82" s="834" t="s">
        <v>532</v>
      </c>
      <c r="D82" s="835">
        <v>20455.060000000001</v>
      </c>
      <c r="E82" s="835">
        <v>4756</v>
      </c>
      <c r="F82" s="835">
        <v>-4.5</v>
      </c>
      <c r="G82" s="835">
        <v>103704.47</v>
      </c>
      <c r="H82" s="840"/>
      <c r="I82" s="840">
        <f t="shared" si="5"/>
        <v>0</v>
      </c>
      <c r="J82" s="840">
        <f t="shared" si="3"/>
        <v>4751.5</v>
      </c>
      <c r="K82" s="841">
        <f t="shared" si="4"/>
        <v>0</v>
      </c>
    </row>
    <row r="83" spans="2:11" s="55" customFormat="1" ht="12">
      <c r="B83" s="837">
        <v>74</v>
      </c>
      <c r="C83" s="834" t="s">
        <v>533</v>
      </c>
      <c r="D83" s="835">
        <v>17302.240000000002</v>
      </c>
      <c r="E83" s="835">
        <v>6801.6</v>
      </c>
      <c r="F83" s="835">
        <v>5401.02</v>
      </c>
      <c r="G83" s="835">
        <v>4998.55</v>
      </c>
      <c r="H83" s="840"/>
      <c r="I83" s="840">
        <f t="shared" si="5"/>
        <v>0</v>
      </c>
      <c r="J83" s="840">
        <f t="shared" si="3"/>
        <v>0</v>
      </c>
      <c r="K83" s="841">
        <f t="shared" si="4"/>
        <v>0</v>
      </c>
    </row>
    <row r="84" spans="2:11" s="55" customFormat="1" ht="12">
      <c r="B84" s="837">
        <v>75</v>
      </c>
      <c r="C84" s="834" t="s">
        <v>534</v>
      </c>
      <c r="D84" s="835">
        <v>0</v>
      </c>
      <c r="E84" s="835">
        <v>0</v>
      </c>
      <c r="F84" s="835">
        <v>6830.62</v>
      </c>
      <c r="G84" s="835">
        <v>-6830.62</v>
      </c>
      <c r="H84" s="840"/>
      <c r="I84" s="840">
        <f t="shared" si="5"/>
        <v>0</v>
      </c>
      <c r="J84" s="840">
        <f t="shared" si="3"/>
        <v>0</v>
      </c>
      <c r="K84" s="841">
        <f t="shared" si="4"/>
        <v>0</v>
      </c>
    </row>
    <row r="85" spans="2:11" s="55" customFormat="1" ht="12">
      <c r="B85" s="837">
        <v>76</v>
      </c>
      <c r="C85" s="834" t="s">
        <v>535</v>
      </c>
      <c r="D85" s="835">
        <v>37073.81</v>
      </c>
      <c r="E85" s="835">
        <v>57552.29</v>
      </c>
      <c r="F85" s="835">
        <v>19042.57</v>
      </c>
      <c r="G85" s="835">
        <v>13598.49</v>
      </c>
      <c r="H85" s="840"/>
      <c r="I85" s="840">
        <f t="shared" si="5"/>
        <v>0</v>
      </c>
      <c r="J85" s="840">
        <f t="shared" si="3"/>
        <v>0</v>
      </c>
      <c r="K85" s="841">
        <f t="shared" si="4"/>
        <v>0</v>
      </c>
    </row>
    <row r="86" spans="2:11" s="55" customFormat="1" ht="12">
      <c r="B86" s="837">
        <v>77</v>
      </c>
      <c r="C86" s="834" t="s">
        <v>536</v>
      </c>
      <c r="D86" s="835">
        <v>0</v>
      </c>
      <c r="E86" s="835">
        <v>0</v>
      </c>
      <c r="F86" s="835">
        <v>4500</v>
      </c>
      <c r="G86" s="835">
        <v>0</v>
      </c>
      <c r="H86" s="840"/>
      <c r="I86" s="840">
        <f t="shared" si="5"/>
        <v>0</v>
      </c>
      <c r="J86" s="840">
        <f t="shared" si="3"/>
        <v>0</v>
      </c>
      <c r="K86" s="841">
        <f t="shared" si="4"/>
        <v>4500</v>
      </c>
    </row>
    <row r="87" spans="2:11" s="55" customFormat="1" ht="12">
      <c r="B87" s="837">
        <v>78</v>
      </c>
      <c r="C87" s="834" t="s">
        <v>537</v>
      </c>
      <c r="D87" s="835">
        <v>23732.34</v>
      </c>
      <c r="E87" s="835">
        <v>14351.46</v>
      </c>
      <c r="F87" s="835">
        <v>23971.09</v>
      </c>
      <c r="G87" s="835">
        <v>100496.75</v>
      </c>
      <c r="H87" s="840"/>
      <c r="I87" s="840">
        <f t="shared" si="5"/>
        <v>0</v>
      </c>
      <c r="J87" s="840">
        <f t="shared" si="3"/>
        <v>0</v>
      </c>
      <c r="K87" s="841">
        <f t="shared" si="4"/>
        <v>0</v>
      </c>
    </row>
    <row r="88" spans="2:11" s="55" customFormat="1" ht="12">
      <c r="B88" s="837">
        <v>79</v>
      </c>
      <c r="C88" s="834" t="s">
        <v>538</v>
      </c>
      <c r="D88" s="835">
        <v>773638.86</v>
      </c>
      <c r="E88" s="835">
        <v>1075754.3</v>
      </c>
      <c r="F88" s="835">
        <v>1663836.38</v>
      </c>
      <c r="G88" s="835">
        <v>1740815.8</v>
      </c>
      <c r="H88" s="840"/>
      <c r="I88" s="840">
        <f t="shared" si="5"/>
        <v>0</v>
      </c>
      <c r="J88" s="840">
        <f t="shared" si="3"/>
        <v>0</v>
      </c>
      <c r="K88" s="841">
        <f t="shared" si="4"/>
        <v>0</v>
      </c>
    </row>
    <row r="89" spans="2:11" s="55" customFormat="1" ht="12">
      <c r="B89" s="837">
        <v>80</v>
      </c>
      <c r="C89" s="834" t="s">
        <v>539</v>
      </c>
      <c r="D89" s="835">
        <v>169480.19</v>
      </c>
      <c r="E89" s="835">
        <v>229223.74</v>
      </c>
      <c r="F89" s="835">
        <v>388376.9</v>
      </c>
      <c r="G89" s="835">
        <v>264589.74</v>
      </c>
      <c r="H89" s="840"/>
      <c r="I89" s="840">
        <f t="shared" si="5"/>
        <v>0</v>
      </c>
      <c r="J89" s="840">
        <f t="shared" si="3"/>
        <v>0</v>
      </c>
      <c r="K89" s="841">
        <f t="shared" si="4"/>
        <v>0</v>
      </c>
    </row>
    <row r="90" spans="2:11" s="55" customFormat="1" ht="12">
      <c r="B90" s="837">
        <v>81</v>
      </c>
      <c r="C90" s="834" t="s">
        <v>540</v>
      </c>
      <c r="D90" s="835">
        <v>9113.56</v>
      </c>
      <c r="E90" s="835">
        <v>3008.01</v>
      </c>
      <c r="F90" s="835">
        <v>513.11</v>
      </c>
      <c r="G90" s="835">
        <v>672.25</v>
      </c>
      <c r="H90" s="840"/>
      <c r="I90" s="840">
        <f t="shared" si="5"/>
        <v>0</v>
      </c>
      <c r="J90" s="840">
        <f t="shared" si="3"/>
        <v>0</v>
      </c>
      <c r="K90" s="841">
        <f t="shared" si="4"/>
        <v>0</v>
      </c>
    </row>
    <row r="91" spans="2:11" ht="15.75" thickBot="1">
      <c r="B91" s="843"/>
      <c r="C91" s="609" t="s">
        <v>456</v>
      </c>
      <c r="D91" s="844">
        <f>SUM(D10:D90)</f>
        <v>16009198.850000003</v>
      </c>
      <c r="E91" s="844">
        <f t="shared" ref="E91:G91" si="6">SUM(E10:E90)</f>
        <v>20100280.879999999</v>
      </c>
      <c r="F91" s="844">
        <f t="shared" si="6"/>
        <v>27907711.710000008</v>
      </c>
      <c r="G91" s="844">
        <f t="shared" si="6"/>
        <v>33281457.780000005</v>
      </c>
      <c r="H91" s="848"/>
      <c r="I91" s="848">
        <f>SUM(I10:I90)</f>
        <v>12996.51</v>
      </c>
      <c r="J91" s="848">
        <f t="shared" ref="J91:K91" si="7">SUM(J10:J90)</f>
        <v>37844.049999999996</v>
      </c>
      <c r="K91" s="849">
        <f t="shared" si="7"/>
        <v>91358.23000000001</v>
      </c>
    </row>
    <row r="92" spans="2:11" ht="15.75" thickBot="1"/>
    <row r="93" spans="2:11">
      <c r="B93" s="836"/>
      <c r="C93" s="832"/>
      <c r="D93" s="832" t="str">
        <f>I9</f>
        <v>2017-2018</v>
      </c>
      <c r="E93" s="832" t="str">
        <f>J9</f>
        <v>2018-2019</v>
      </c>
      <c r="F93" s="833" t="str">
        <f>K9</f>
        <v>2019-2020</v>
      </c>
    </row>
    <row r="94" spans="2:11">
      <c r="B94" s="805" t="s">
        <v>457</v>
      </c>
      <c r="C94" s="186"/>
      <c r="D94" s="840">
        <f>I91</f>
        <v>12996.51</v>
      </c>
      <c r="E94" s="840">
        <f>J91</f>
        <v>37844.049999999996</v>
      </c>
      <c r="F94" s="841">
        <f>K91</f>
        <v>91358.23000000001</v>
      </c>
    </row>
    <row r="95" spans="2:11" ht="15.75" thickBot="1">
      <c r="B95" s="810" t="s">
        <v>455</v>
      </c>
      <c r="C95" s="422"/>
      <c r="D95" s="842">
        <f>IFERROR(D94/D91,"n/a")</f>
        <v>8.1181513964391776E-4</v>
      </c>
      <c r="E95" s="842">
        <f>IFERROR(E94/E91,"n/a")</f>
        <v>1.8827622472507458E-3</v>
      </c>
      <c r="F95" s="830">
        <f>IFERROR(F94/F91,"n/a")</f>
        <v>3.2735836943329232E-3</v>
      </c>
    </row>
    <row r="96" spans="2:11">
      <c r="B96" s="809"/>
      <c r="D96" s="611"/>
      <c r="E96" s="611"/>
      <c r="F96" s="611"/>
    </row>
    <row r="97" spans="2:4" ht="15.75" thickBot="1">
      <c r="B97" s="25" t="s">
        <v>541</v>
      </c>
      <c r="D97" s="25"/>
    </row>
    <row r="98" spans="2:4">
      <c r="B98" s="831" t="s">
        <v>542</v>
      </c>
      <c r="C98" s="838">
        <f>IFERROR(AVERAGE(D95:F95),"n/a")</f>
        <v>1.9893870270758624E-3</v>
      </c>
    </row>
    <row r="99" spans="2:4" ht="15.75" thickBot="1">
      <c r="B99" s="810" t="s">
        <v>543</v>
      </c>
      <c r="C99" s="839">
        <f>IFERROR(MEDIAN(D95:F95),"n/a")</f>
        <v>1.8827622472507458E-3</v>
      </c>
    </row>
  </sheetData>
  <pageMargins left="0.5" right="0.5" top="0.5" bottom="0.5" header="0.5" footer="0.5"/>
  <pageSetup scale="88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7:L32"/>
  <sheetViews>
    <sheetView showGridLines="0" view="pageBreakPreview" zoomScale="55" zoomScaleNormal="100" zoomScaleSheetLayoutView="55" workbookViewId="0"/>
  </sheetViews>
  <sheetFormatPr defaultRowHeight="15"/>
  <cols>
    <col min="14" max="14" width="7.140625" customWidth="1"/>
  </cols>
  <sheetData>
    <row r="17" spans="2:12" ht="20.25">
      <c r="B17" s="57" t="str">
        <f>Acq_name</f>
        <v>[Acq.Co. Holdings Ltd.]</v>
      </c>
    </row>
    <row r="18" spans="2:12" ht="20.25">
      <c r="B18" s="57" t="str">
        <f>"Valuation of Certain Intangible Assets of "&amp;Targ_name</f>
        <v>Valuation of Certain Intangible Assets of [ABC Corporation]</v>
      </c>
    </row>
    <row r="19" spans="2:12" ht="20.25">
      <c r="B19" s="57" t="s">
        <v>178</v>
      </c>
    </row>
    <row r="20" spans="2:12" ht="20.25">
      <c r="B20" s="57" t="str">
        <f>"Valuation as of "&amp;TEXT(Val_date,"DD MMMM YYYY")</f>
        <v>Valuation as of 31 March 2020</v>
      </c>
    </row>
    <row r="32" spans="2:12">
      <c r="B32" s="5" t="s">
        <v>179</v>
      </c>
      <c r="K32" s="470" t="s">
        <v>370</v>
      </c>
      <c r="L32" s="469" t="str">
        <f ca="1">TEXT(TODAY(),"MMMM DD, YYYY")</f>
        <v>December 16, 2020</v>
      </c>
    </row>
  </sheetData>
  <pageMargins left="0.5" right="0.5" top="0.5" bottom="0.5" header="0.5" footer="0.5"/>
  <pageSetup scale="94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48"/>
  <sheetViews>
    <sheetView showGridLines="0" view="pageBreakPreview" zoomScale="80" zoomScaleNormal="100" zoomScaleSheetLayoutView="80" workbookViewId="0">
      <selection activeCell="B8" sqref="B8:N13"/>
    </sheetView>
  </sheetViews>
  <sheetFormatPr defaultRowHeight="14.25"/>
  <cols>
    <col min="1" max="1" width="3.5703125" style="2" customWidth="1"/>
    <col min="2" max="2" width="19" style="2" customWidth="1"/>
    <col min="3" max="3" width="6.7109375" style="2" customWidth="1"/>
    <col min="4" max="4" width="12.42578125" style="2" customWidth="1"/>
    <col min="5" max="5" width="60" style="2" customWidth="1"/>
    <col min="6" max="6" width="12.7109375" style="2" customWidth="1"/>
    <col min="7" max="7" width="5.28515625" style="2" customWidth="1"/>
    <col min="8" max="8" width="2.7109375" style="2" customWidth="1"/>
    <col min="9" max="16384" width="9.140625" style="2"/>
  </cols>
  <sheetData>
    <row r="1" spans="2:8" ht="18" customHeight="1">
      <c r="B1" s="18" t="str">
        <f>Acq_name</f>
        <v>[Acq.Co. Holdings Ltd.]</v>
      </c>
    </row>
    <row r="2" spans="2:8" ht="18" customHeight="1">
      <c r="B2" s="19" t="str">
        <f>Targ_name</f>
        <v>[ABC Corporation]</v>
      </c>
    </row>
    <row r="3" spans="2:8" ht="15">
      <c r="B3" s="20" t="s">
        <v>34</v>
      </c>
    </row>
    <row r="5" spans="2:8">
      <c r="B5" s="21" t="s">
        <v>35</v>
      </c>
      <c r="C5" s="22"/>
      <c r="D5" s="22"/>
      <c r="E5" s="21" t="s">
        <v>36</v>
      </c>
    </row>
    <row r="6" spans="2:8">
      <c r="B6" s="23"/>
      <c r="C6" s="23"/>
      <c r="D6" s="23"/>
      <c r="E6" s="23"/>
    </row>
    <row r="7" spans="2:8">
      <c r="B7" s="24" t="str">
        <f>CHAR(H7)</f>
        <v>A</v>
      </c>
      <c r="C7" s="24"/>
      <c r="D7" s="24"/>
      <c r="E7" s="516" t="s">
        <v>37</v>
      </c>
      <c r="H7" s="2">
        <v>65</v>
      </c>
    </row>
    <row r="8" spans="2:8">
      <c r="B8" s="24"/>
      <c r="C8" s="24"/>
      <c r="D8" s="24"/>
      <c r="E8" s="516"/>
    </row>
    <row r="9" spans="2:8">
      <c r="B9" s="24"/>
      <c r="C9" s="24"/>
      <c r="D9" s="24"/>
      <c r="E9" s="850" t="s">
        <v>371</v>
      </c>
    </row>
    <row r="10" spans="2:8">
      <c r="B10" s="24" t="str">
        <f t="shared" ref="B10:B26" si="0">CHAR(H10)</f>
        <v>B</v>
      </c>
      <c r="C10" s="24"/>
      <c r="D10" s="24"/>
      <c r="E10" s="516" t="s">
        <v>389</v>
      </c>
      <c r="H10" s="2">
        <f>H7+1</f>
        <v>66</v>
      </c>
    </row>
    <row r="11" spans="2:8">
      <c r="B11" s="24" t="str">
        <f t="shared" si="0"/>
        <v>C</v>
      </c>
      <c r="C11" s="24"/>
      <c r="D11" s="24"/>
      <c r="E11" s="516" t="s">
        <v>80</v>
      </c>
      <c r="H11" s="2">
        <f>H10+1</f>
        <v>67</v>
      </c>
    </row>
    <row r="12" spans="2:8">
      <c r="B12" s="24" t="str">
        <f t="shared" si="0"/>
        <v>D</v>
      </c>
      <c r="C12" s="24"/>
      <c r="D12" s="24"/>
      <c r="E12" s="516" t="s">
        <v>81</v>
      </c>
      <c r="H12" s="2">
        <f>H11+1</f>
        <v>68</v>
      </c>
    </row>
    <row r="13" spans="2:8">
      <c r="B13" s="24" t="str">
        <f t="shared" ref="B13" si="1">CHAR(H13)</f>
        <v>E</v>
      </c>
      <c r="C13" s="24"/>
      <c r="D13" s="24"/>
      <c r="E13" s="516" t="s">
        <v>390</v>
      </c>
      <c r="H13" s="2">
        <f>H12+1</f>
        <v>69</v>
      </c>
    </row>
    <row r="14" spans="2:8">
      <c r="B14" s="24"/>
      <c r="C14" s="24"/>
      <c r="D14" s="24"/>
      <c r="E14" s="516"/>
    </row>
    <row r="15" spans="2:8">
      <c r="B15" s="24"/>
      <c r="C15" s="24"/>
      <c r="D15" s="24"/>
      <c r="E15" s="850" t="s">
        <v>372</v>
      </c>
    </row>
    <row r="16" spans="2:8">
      <c r="B16" s="24" t="str">
        <f t="shared" si="0"/>
        <v>F</v>
      </c>
      <c r="C16" s="24"/>
      <c r="D16" s="24"/>
      <c r="E16" s="516" t="s">
        <v>182</v>
      </c>
      <c r="H16" s="2">
        <f>H13+1</f>
        <v>70</v>
      </c>
    </row>
    <row r="17" spans="2:8">
      <c r="B17" s="24" t="str">
        <f t="shared" si="0"/>
        <v>G</v>
      </c>
      <c r="C17" s="24"/>
      <c r="D17" s="24"/>
      <c r="E17" s="516" t="s">
        <v>181</v>
      </c>
      <c r="H17" s="2">
        <f t="shared" ref="H17:H31" si="2">H16+1</f>
        <v>71</v>
      </c>
    </row>
    <row r="18" spans="2:8">
      <c r="B18" s="24" t="str">
        <f t="shared" si="0"/>
        <v>H</v>
      </c>
      <c r="C18" s="24"/>
      <c r="D18" s="24"/>
      <c r="E18" s="516" t="s">
        <v>79</v>
      </c>
      <c r="H18" s="2">
        <f t="shared" si="2"/>
        <v>72</v>
      </c>
    </row>
    <row r="19" spans="2:8">
      <c r="B19" s="24"/>
      <c r="C19" s="24"/>
      <c r="D19" s="24"/>
      <c r="E19" s="516"/>
    </row>
    <row r="20" spans="2:8">
      <c r="B20" s="24"/>
      <c r="C20" s="24"/>
      <c r="D20" s="24"/>
      <c r="E20" s="850" t="s">
        <v>549</v>
      </c>
    </row>
    <row r="21" spans="2:8">
      <c r="B21" s="24" t="str">
        <f t="shared" si="0"/>
        <v>I</v>
      </c>
      <c r="C21" s="24"/>
      <c r="D21" s="24"/>
      <c r="E21" s="516" t="s">
        <v>38</v>
      </c>
      <c r="H21" s="2">
        <f>H18+1</f>
        <v>73</v>
      </c>
    </row>
    <row r="22" spans="2:8">
      <c r="B22" s="24" t="str">
        <f t="shared" ref="B22:B23" si="3">CHAR(H22)</f>
        <v>J</v>
      </c>
      <c r="C22" s="24"/>
      <c r="D22" s="24"/>
      <c r="E22" s="516" t="s">
        <v>391</v>
      </c>
      <c r="H22" s="2">
        <f t="shared" si="2"/>
        <v>74</v>
      </c>
    </row>
    <row r="23" spans="2:8">
      <c r="B23" s="24" t="str">
        <f t="shared" si="3"/>
        <v>K</v>
      </c>
      <c r="C23" s="24"/>
      <c r="D23" s="24"/>
      <c r="E23" s="516" t="s">
        <v>300</v>
      </c>
      <c r="H23" s="2">
        <f t="shared" si="2"/>
        <v>75</v>
      </c>
    </row>
    <row r="24" spans="2:8">
      <c r="B24" s="24" t="str">
        <f t="shared" ref="B24" si="4">CHAR(H24)</f>
        <v>L</v>
      </c>
      <c r="C24" s="24"/>
      <c r="D24" s="24"/>
      <c r="E24" s="516" t="s">
        <v>301</v>
      </c>
      <c r="H24" s="2">
        <f t="shared" si="2"/>
        <v>76</v>
      </c>
    </row>
    <row r="25" spans="2:8">
      <c r="B25" s="24" t="str">
        <f t="shared" ref="B25" si="5">CHAR(H25)</f>
        <v>M</v>
      </c>
      <c r="C25" s="24"/>
      <c r="D25" s="24"/>
      <c r="E25" s="516" t="s">
        <v>40</v>
      </c>
      <c r="H25" s="2">
        <f t="shared" si="2"/>
        <v>77</v>
      </c>
    </row>
    <row r="26" spans="2:8">
      <c r="B26" s="24" t="str">
        <f t="shared" si="0"/>
        <v>N</v>
      </c>
      <c r="C26" s="24"/>
      <c r="D26" s="24"/>
      <c r="E26" s="516" t="s">
        <v>217</v>
      </c>
      <c r="H26" s="2">
        <f>H25+1</f>
        <v>78</v>
      </c>
    </row>
    <row r="27" spans="2:8">
      <c r="B27" s="24" t="str">
        <f t="shared" ref="B27" si="6">CHAR(H27)</f>
        <v>O</v>
      </c>
      <c r="C27" s="24"/>
      <c r="D27" s="24"/>
      <c r="E27" s="516" t="s">
        <v>41</v>
      </c>
      <c r="H27" s="2">
        <f t="shared" si="2"/>
        <v>79</v>
      </c>
    </row>
    <row r="28" spans="2:8">
      <c r="B28" s="24"/>
      <c r="C28" s="24"/>
      <c r="D28" s="24"/>
      <c r="E28" s="516"/>
    </row>
    <row r="29" spans="2:8">
      <c r="B29" s="24"/>
      <c r="C29" s="24"/>
      <c r="D29" s="24"/>
      <c r="E29" s="850" t="s">
        <v>548</v>
      </c>
    </row>
    <row r="30" spans="2:8">
      <c r="B30" s="24" t="str">
        <f t="shared" ref="B30" si="7">CHAR(H30)</f>
        <v>P</v>
      </c>
      <c r="C30" s="24"/>
      <c r="D30" s="24"/>
      <c r="E30" s="516" t="s">
        <v>82</v>
      </c>
      <c r="H30" s="2">
        <f>H27+1</f>
        <v>80</v>
      </c>
    </row>
    <row r="31" spans="2:8">
      <c r="B31" s="24" t="str">
        <f t="shared" ref="B31" si="8">CHAR(H31)</f>
        <v>Q</v>
      </c>
      <c r="C31" s="24"/>
      <c r="D31" s="24"/>
      <c r="E31" s="516" t="s">
        <v>400</v>
      </c>
      <c r="H31" s="2">
        <f t="shared" si="2"/>
        <v>81</v>
      </c>
    </row>
    <row r="32" spans="2:8">
      <c r="B32" s="24"/>
      <c r="C32" s="24"/>
      <c r="D32" s="24"/>
      <c r="E32" s="24"/>
    </row>
    <row r="33" spans="2:10">
      <c r="B33" s="24"/>
      <c r="C33" s="24"/>
      <c r="D33" s="24"/>
      <c r="F33" s="741"/>
      <c r="G33" s="741"/>
      <c r="H33" s="741"/>
      <c r="I33" s="741"/>
      <c r="J33" s="741"/>
    </row>
    <row r="34" spans="2:10">
      <c r="B34" s="24"/>
      <c r="C34" s="24"/>
      <c r="D34" s="24"/>
      <c r="E34" s="742" t="s">
        <v>546</v>
      </c>
      <c r="F34" s="741"/>
      <c r="G34" s="741"/>
      <c r="H34" s="741"/>
      <c r="I34" s="741"/>
      <c r="J34" s="741"/>
    </row>
    <row r="35" spans="2:10">
      <c r="B35" s="24" t="str">
        <f t="shared" ref="B35:B37" si="9">CHAR(H35)</f>
        <v>A</v>
      </c>
      <c r="C35" s="17"/>
      <c r="D35" s="17"/>
      <c r="E35" s="516" t="s">
        <v>416</v>
      </c>
      <c r="F35" s="741"/>
      <c r="G35" s="741"/>
      <c r="H35" s="741">
        <v>65</v>
      </c>
      <c r="I35" s="741"/>
      <c r="J35" s="741"/>
    </row>
    <row r="36" spans="2:10">
      <c r="B36" s="24" t="str">
        <f t="shared" si="9"/>
        <v>A</v>
      </c>
      <c r="C36" s="17"/>
      <c r="D36" s="17"/>
      <c r="E36" s="516" t="s">
        <v>454</v>
      </c>
      <c r="F36" s="741"/>
      <c r="G36" s="741"/>
      <c r="H36" s="741">
        <v>65</v>
      </c>
      <c r="I36" s="741"/>
      <c r="J36" s="741"/>
    </row>
    <row r="37" spans="2:10">
      <c r="B37" s="24" t="str">
        <f t="shared" si="9"/>
        <v>A</v>
      </c>
      <c r="C37" s="17"/>
      <c r="D37" s="17"/>
      <c r="E37" s="516" t="s">
        <v>545</v>
      </c>
      <c r="F37" s="741"/>
      <c r="G37" s="741"/>
      <c r="H37" s="741">
        <v>65</v>
      </c>
      <c r="I37" s="741"/>
      <c r="J37" s="741"/>
    </row>
    <row r="38" spans="2:10">
      <c r="B38" s="24" t="str">
        <f t="shared" ref="B38" si="10">CHAR(H38)</f>
        <v>A</v>
      </c>
      <c r="C38" s="17"/>
      <c r="D38" s="17"/>
      <c r="E38" s="516" t="s">
        <v>547</v>
      </c>
      <c r="F38" s="741"/>
      <c r="G38" s="741"/>
      <c r="H38" s="741">
        <v>65</v>
      </c>
      <c r="I38" s="741"/>
      <c r="J38" s="741"/>
    </row>
    <row r="39" spans="2:10">
      <c r="B39" s="17"/>
      <c r="C39" s="17"/>
      <c r="D39" s="17"/>
      <c r="E39" s="742"/>
      <c r="F39" s="741"/>
      <c r="G39" s="741"/>
      <c r="H39" s="741"/>
      <c r="I39" s="741"/>
      <c r="J39" s="741"/>
    </row>
    <row r="40" spans="2:10">
      <c r="B40" s="17"/>
      <c r="C40" s="17"/>
      <c r="D40" s="17"/>
      <c r="E40" s="742"/>
      <c r="F40" s="741"/>
      <c r="G40" s="741"/>
      <c r="H40" s="741"/>
      <c r="I40" s="741"/>
      <c r="J40" s="741"/>
    </row>
    <row r="41" spans="2:10">
      <c r="B41" s="17"/>
      <c r="C41" s="17"/>
      <c r="D41" s="17"/>
      <c r="E41" s="742"/>
      <c r="F41" s="741"/>
      <c r="G41" s="741"/>
      <c r="H41" s="741"/>
      <c r="I41" s="741"/>
      <c r="J41" s="741"/>
    </row>
    <row r="42" spans="2:10">
      <c r="B42" s="17"/>
      <c r="C42" s="17"/>
      <c r="D42" s="17"/>
      <c r="E42" s="742"/>
      <c r="F42" s="741"/>
      <c r="G42" s="741"/>
      <c r="H42" s="741"/>
      <c r="I42" s="741"/>
      <c r="J42" s="741"/>
    </row>
    <row r="43" spans="2:10">
      <c r="E43" s="741"/>
      <c r="F43" s="741"/>
      <c r="G43" s="741"/>
      <c r="H43" s="741"/>
      <c r="I43" s="741"/>
      <c r="J43" s="741"/>
    </row>
    <row r="44" spans="2:10">
      <c r="E44" s="741"/>
      <c r="F44" s="741"/>
      <c r="G44" s="741"/>
      <c r="H44" s="741"/>
      <c r="I44" s="741"/>
      <c r="J44" s="741"/>
    </row>
    <row r="45" spans="2:10">
      <c r="E45" s="741"/>
      <c r="F45" s="741"/>
      <c r="G45" s="741"/>
      <c r="H45" s="741"/>
      <c r="I45" s="741"/>
      <c r="J45" s="741"/>
    </row>
    <row r="46" spans="2:10">
      <c r="E46" s="741"/>
      <c r="F46" s="741"/>
      <c r="G46" s="741"/>
      <c r="H46" s="741"/>
      <c r="I46" s="741"/>
      <c r="J46" s="741"/>
    </row>
    <row r="47" spans="2:10">
      <c r="E47" s="741"/>
      <c r="F47" s="741"/>
      <c r="G47" s="741"/>
      <c r="H47" s="741"/>
      <c r="I47" s="741"/>
      <c r="J47" s="741"/>
    </row>
    <row r="48" spans="2:10">
      <c r="E48" s="741"/>
      <c r="F48" s="741"/>
      <c r="G48" s="741"/>
      <c r="H48" s="741"/>
      <c r="I48" s="741"/>
      <c r="J48" s="741"/>
    </row>
  </sheetData>
  <pageMargins left="0.5" right="0.5" top="0.5" bottom="0.5" header="0.5" footer="0.5"/>
  <pageSetup scale="10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6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34.7109375" customWidth="1"/>
    <col min="3" max="3" width="39.28515625" customWidth="1"/>
    <col min="4" max="4" width="11" customWidth="1"/>
    <col min="5" max="6" width="17.5703125" style="28" customWidth="1"/>
    <col min="7" max="7" width="2.7109375" customWidth="1"/>
  </cols>
  <sheetData>
    <row r="1" spans="1:7" ht="15.75">
      <c r="A1" s="2"/>
      <c r="B1" s="18" t="str">
        <f>Acq_name</f>
        <v>[Acq.Co. Holdings Ltd.]</v>
      </c>
      <c r="F1" s="34" t="str">
        <f>"Exhibit: "&amp;INDEX(TOC!$B$5:$E$34,MATCH($B$3,TOC!$E$5:$E$36,0),COLUMNS(TOC!B5))&amp;H1</f>
        <v>Exhibit: A</v>
      </c>
    </row>
    <row r="2" spans="1:7">
      <c r="A2" s="2"/>
      <c r="B2" s="19" t="str">
        <f>Targ_name</f>
        <v>[ABC Corporation]</v>
      </c>
    </row>
    <row r="3" spans="1:7">
      <c r="A3" s="2"/>
      <c r="B3" s="20" t="str">
        <f>TOC!E7</f>
        <v>Summary of Values</v>
      </c>
    </row>
    <row r="4" spans="1:7">
      <c r="B4" s="25" t="str">
        <f>"Valuation as of "&amp;TEXT(Val_date,"DD MMMM YYYY")</f>
        <v>Valuation as of 31 March 2020</v>
      </c>
    </row>
    <row r="5" spans="1:7">
      <c r="B5" s="27" t="str">
        <f>'Key Inputs and Assumptions'!C24</f>
        <v>(in USD ‘000s unless specified otherwise)</v>
      </c>
    </row>
    <row r="6" spans="1:7" ht="15.75" thickBot="1"/>
    <row r="7" spans="1:7">
      <c r="B7" s="117" t="s">
        <v>43</v>
      </c>
      <c r="C7" s="118"/>
      <c r="D7" s="149"/>
      <c r="E7" s="150" t="s">
        <v>44</v>
      </c>
      <c r="F7" s="151" t="s">
        <v>45</v>
      </c>
    </row>
    <row r="8" spans="1:7">
      <c r="B8" s="152" t="s">
        <v>46</v>
      </c>
      <c r="C8" s="153"/>
      <c r="D8" s="154"/>
      <c r="E8" s="155"/>
      <c r="F8" s="156"/>
    </row>
    <row r="9" spans="1:7">
      <c r="B9" s="157"/>
      <c r="C9" s="33" t="s">
        <v>47</v>
      </c>
      <c r="D9" s="31"/>
      <c r="E9" s="47">
        <f>E11-E10</f>
        <v>88024.01</v>
      </c>
      <c r="F9" s="158">
        <f>E9/$E$11</f>
        <v>0.98903382022471908</v>
      </c>
    </row>
    <row r="10" spans="1:7">
      <c r="B10" s="157"/>
      <c r="C10" s="33" t="s">
        <v>48</v>
      </c>
      <c r="D10" s="31"/>
      <c r="E10" s="47">
        <f>'Historical BS'!H28+'Historical BS'!H34</f>
        <v>975.99</v>
      </c>
      <c r="F10" s="158">
        <f>E10/$E$11</f>
        <v>1.09661797752809E-2</v>
      </c>
    </row>
    <row r="11" spans="1:7" ht="15.75" thickBot="1">
      <c r="B11" s="159" t="s">
        <v>49</v>
      </c>
      <c r="C11" s="160"/>
      <c r="D11" s="161"/>
      <c r="E11" s="517">
        <v>89000</v>
      </c>
      <c r="F11" s="163">
        <f>SUM(F9:F10)</f>
        <v>1</v>
      </c>
    </row>
    <row r="12" spans="1:7" ht="15.75" thickBot="1">
      <c r="A12" s="26"/>
      <c r="B12" s="164"/>
      <c r="C12" s="10"/>
      <c r="D12" s="32"/>
      <c r="E12" s="165"/>
      <c r="F12" s="165"/>
      <c r="G12" s="26"/>
    </row>
    <row r="13" spans="1:7">
      <c r="B13" s="166" t="s">
        <v>50</v>
      </c>
      <c r="C13" s="167"/>
      <c r="D13" s="168"/>
      <c r="E13" s="169"/>
      <c r="F13" s="170"/>
    </row>
    <row r="14" spans="1:7">
      <c r="B14" s="157"/>
      <c r="C14" s="33" t="s">
        <v>51</v>
      </c>
      <c r="D14" s="30"/>
      <c r="E14" s="47">
        <f>'Historical BS'!H46</f>
        <v>2073.3000000000002</v>
      </c>
      <c r="F14" s="158">
        <f>E14/$E$26</f>
        <v>2.3295505617977531E-2</v>
      </c>
    </row>
    <row r="15" spans="1:7" ht="15" customHeight="1">
      <c r="B15" s="157" t="s">
        <v>9</v>
      </c>
      <c r="C15" s="33" t="s">
        <v>52</v>
      </c>
      <c r="D15" s="30"/>
      <c r="E15" s="47">
        <f>'Historical BS'!H21</f>
        <v>7754.0527584407282</v>
      </c>
      <c r="F15" s="158">
        <f t="shared" ref="F15:F17" si="0">E15/$E$26</f>
        <v>8.7124188297086833E-2</v>
      </c>
    </row>
    <row r="16" spans="1:7">
      <c r="B16" s="157"/>
      <c r="C16" s="33" t="s">
        <v>53</v>
      </c>
      <c r="D16" s="31"/>
      <c r="E16" s="47">
        <f>'Historical BS'!H22-'Historical BS'!H37-'Historical BS'!H35-'Historical BS'!H36</f>
        <v>8591.26</v>
      </c>
      <c r="F16" s="158">
        <f t="shared" si="0"/>
        <v>9.6531011235955061E-2</v>
      </c>
    </row>
    <row r="17" spans="2:6">
      <c r="B17" s="157"/>
      <c r="C17" s="171" t="s">
        <v>54</v>
      </c>
      <c r="D17" s="172"/>
      <c r="E17" s="176">
        <f>SUM(E14:E16)</f>
        <v>18418.61275844073</v>
      </c>
      <c r="F17" s="173">
        <f t="shared" si="0"/>
        <v>0.20695070515101943</v>
      </c>
    </row>
    <row r="18" spans="2:6">
      <c r="B18" s="152" t="s">
        <v>55</v>
      </c>
      <c r="C18" s="174"/>
      <c r="D18" s="154"/>
      <c r="E18" s="155"/>
      <c r="F18" s="156"/>
    </row>
    <row r="19" spans="2:6" ht="15" customHeight="1">
      <c r="B19" s="157"/>
      <c r="C19" s="33" t="s">
        <v>56</v>
      </c>
      <c r="D19" s="30"/>
      <c r="E19" s="47">
        <f>'Trade Name and Trademarks'!G26</f>
        <v>3980</v>
      </c>
      <c r="F19" s="158">
        <f t="shared" ref="F19:F25" si="1">E19/$E$26</f>
        <v>4.4719101123595506E-2</v>
      </c>
    </row>
    <row r="20" spans="2:6">
      <c r="B20" s="157"/>
      <c r="C20" s="33" t="s">
        <v>39</v>
      </c>
      <c r="D20" s="31"/>
      <c r="E20" s="47">
        <f>Technology!G34</f>
        <v>28508</v>
      </c>
      <c r="F20" s="158">
        <f t="shared" si="1"/>
        <v>0.32031460674157303</v>
      </c>
    </row>
    <row r="21" spans="2:6">
      <c r="B21" s="175"/>
      <c r="C21" s="33" t="s">
        <v>57</v>
      </c>
      <c r="D21" s="31"/>
      <c r="E21" s="47">
        <f>'Non-Compete Agreement_A'!Y19+'Non-Compete Agreement_B'!Y19</f>
        <v>922</v>
      </c>
      <c r="F21" s="158">
        <f t="shared" si="1"/>
        <v>1.0359550561797753E-2</v>
      </c>
    </row>
    <row r="22" spans="2:6">
      <c r="B22" s="175"/>
      <c r="C22" s="33" t="s">
        <v>217</v>
      </c>
      <c r="D22" s="31"/>
      <c r="E22" s="47">
        <f>'Assembled Workforce'!E28</f>
        <v>9915.8364800037853</v>
      </c>
      <c r="F22" s="158">
        <f t="shared" si="1"/>
        <v>0.11141389303375039</v>
      </c>
    </row>
    <row r="23" spans="2:6">
      <c r="B23" s="175"/>
      <c r="C23" s="171" t="s">
        <v>58</v>
      </c>
      <c r="D23" s="172"/>
      <c r="E23" s="176">
        <f>SUM(E19:E22)</f>
        <v>43325.836480003782</v>
      </c>
      <c r="F23" s="173">
        <f t="shared" si="1"/>
        <v>0.48680715146071663</v>
      </c>
    </row>
    <row r="24" spans="2:6">
      <c r="B24" s="175"/>
      <c r="C24" s="33"/>
      <c r="D24" s="31"/>
      <c r="E24" s="29"/>
      <c r="F24" s="177"/>
    </row>
    <row r="25" spans="2:6">
      <c r="B25" s="175"/>
      <c r="C25" s="33" t="s">
        <v>59</v>
      </c>
      <c r="D25" s="31"/>
      <c r="E25" s="47">
        <f>E11-E17-E23</f>
        <v>27255.550761555496</v>
      </c>
      <c r="F25" s="158">
        <f t="shared" si="1"/>
        <v>0.306242143388264</v>
      </c>
    </row>
    <row r="26" spans="2:6" ht="15" customHeight="1" thickBot="1">
      <c r="B26" s="159" t="s">
        <v>60</v>
      </c>
      <c r="C26" s="178"/>
      <c r="D26" s="178"/>
      <c r="E26" s="162">
        <f>E17+E23+E25</f>
        <v>89000</v>
      </c>
      <c r="F26" s="163">
        <v>1</v>
      </c>
    </row>
  </sheetData>
  <pageMargins left="0.5" right="0.5" top="0.5" bottom="0.5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B7:N13"/>
  <sheetViews>
    <sheetView showGridLines="0" view="pageBreakPreview" zoomScale="55" zoomScaleNormal="100" zoomScaleSheetLayoutView="55" workbookViewId="0"/>
  </sheetViews>
  <sheetFormatPr defaultRowHeight="15"/>
  <sheetData>
    <row r="7" spans="2:14" ht="15.75" thickBot="1"/>
    <row r="8" spans="2:14">
      <c r="B8" s="761" t="s">
        <v>371</v>
      </c>
      <c r="C8" s="761"/>
      <c r="D8" s="761"/>
      <c r="E8" s="761"/>
      <c r="F8" s="761"/>
      <c r="G8" s="761"/>
      <c r="H8" s="761"/>
      <c r="I8" s="761"/>
      <c r="J8" s="761"/>
      <c r="K8" s="761"/>
      <c r="L8" s="761"/>
      <c r="M8" s="761"/>
      <c r="N8" s="761"/>
    </row>
    <row r="9" spans="2:14">
      <c r="B9" s="762"/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/>
    </row>
    <row r="10" spans="2:14">
      <c r="B10" s="762"/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</row>
    <row r="11" spans="2:14">
      <c r="B11" s="762"/>
      <c r="C11" s="762"/>
      <c r="D11" s="762"/>
      <c r="E11" s="762"/>
      <c r="F11" s="762"/>
      <c r="G11" s="762"/>
      <c r="H11" s="762"/>
      <c r="I11" s="762"/>
      <c r="J11" s="762"/>
      <c r="K11" s="762"/>
      <c r="L11" s="762"/>
      <c r="M11" s="762"/>
      <c r="N11" s="762"/>
    </row>
    <row r="12" spans="2:14">
      <c r="B12" s="762"/>
      <c r="C12" s="762"/>
      <c r="D12" s="762"/>
      <c r="E12" s="762"/>
      <c r="F12" s="762"/>
      <c r="G12" s="762"/>
      <c r="H12" s="762"/>
      <c r="I12" s="762"/>
      <c r="J12" s="762"/>
      <c r="K12" s="762"/>
      <c r="L12" s="762"/>
      <c r="M12" s="762"/>
      <c r="N12" s="762"/>
    </row>
    <row r="13" spans="2:14" ht="15.75" thickBot="1"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</row>
  </sheetData>
  <mergeCells count="1">
    <mergeCell ref="B8:N13"/>
  </mergeCells>
  <pageMargins left="0.5" right="0.5" top="0.5" bottom="0.5" header="0.3" footer="0.3"/>
  <pageSetup scale="9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K28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39.7109375" customWidth="1"/>
    <col min="3" max="3" width="11" customWidth="1"/>
    <col min="4" max="4" width="26.28515625" customWidth="1"/>
    <col min="5" max="5" width="17.140625" customWidth="1"/>
    <col min="6" max="6" width="17.28515625" customWidth="1"/>
    <col min="7" max="7" width="9.140625" customWidth="1"/>
    <col min="8" max="8" width="2.7109375" customWidth="1"/>
    <col min="11" max="11" width="25.140625" customWidth="1"/>
  </cols>
  <sheetData>
    <row r="1" spans="2:11" ht="15.75">
      <c r="B1" s="18" t="str">
        <f>Acq_name</f>
        <v>[Acq.Co. Holdings Ltd.]</v>
      </c>
      <c r="G1" s="34" t="str">
        <f>"Exhibit: "&amp;INDEX(TOC!$B$5:$E$34,MATCH($B$3,TOC!$E$5:$E$36,0),COLUMNS(TOC!C5))&amp;I1</f>
        <v>Exhibit: B</v>
      </c>
    </row>
    <row r="2" spans="2:11">
      <c r="B2" s="19" t="str">
        <f>Targ_name</f>
        <v>[ABC Corporation]</v>
      </c>
    </row>
    <row r="3" spans="2:11">
      <c r="B3" s="20" t="str">
        <f>TOC!E10</f>
        <v>Weighted Average Return on Assets</v>
      </c>
    </row>
    <row r="4" spans="2:11">
      <c r="B4" s="25" t="str">
        <f>"Valuation as of "&amp;TEXT(Val_date,"DD MMMM YYYY")</f>
        <v>Valuation as of 31 March 2020</v>
      </c>
    </row>
    <row r="5" spans="2:11">
      <c r="B5" s="27" t="str">
        <f>'Key Inputs and Assumptions'!C24</f>
        <v>(in USD ‘000s unless specified otherwise)</v>
      </c>
    </row>
    <row r="6" spans="2:11" ht="15.75" thickBot="1">
      <c r="K6" s="507" t="s">
        <v>380</v>
      </c>
    </row>
    <row r="7" spans="2:11">
      <c r="B7" s="117"/>
      <c r="C7" s="118"/>
      <c r="D7" s="118" t="s">
        <v>150</v>
      </c>
      <c r="E7" s="118" t="s">
        <v>151</v>
      </c>
      <c r="F7" s="137" t="s">
        <v>152</v>
      </c>
      <c r="K7" s="508">
        <f>'Key Inputs and Assumptions'!C22</f>
        <v>3.5000000000000003E-2</v>
      </c>
    </row>
    <row r="8" spans="2:11" ht="9.9499999999999993" customHeight="1">
      <c r="B8" s="124"/>
      <c r="C8" s="36"/>
      <c r="D8" s="36"/>
      <c r="E8" s="36"/>
      <c r="F8" s="179"/>
      <c r="K8" s="508"/>
    </row>
    <row r="9" spans="2:11">
      <c r="B9" s="152" t="s">
        <v>50</v>
      </c>
      <c r="C9" s="153"/>
      <c r="D9" s="154"/>
      <c r="E9" s="155"/>
      <c r="F9" s="156"/>
      <c r="K9" s="473" t="s">
        <v>379</v>
      </c>
    </row>
    <row r="10" spans="2:11">
      <c r="B10" s="180"/>
      <c r="C10" s="181" t="s">
        <v>153</v>
      </c>
      <c r="D10" s="187">
        <f>IRR!T34</f>
        <v>3169.1636385962456</v>
      </c>
      <c r="E10" s="40">
        <f>($K$7+K10)*(1-tax_rate)</f>
        <v>3.3237000000000003E-2</v>
      </c>
      <c r="F10" s="139">
        <f>E10*D10/$D$24</f>
        <v>1.1691268344854349E-3</v>
      </c>
      <c r="K10" s="474">
        <v>0.01</v>
      </c>
    </row>
    <row r="11" spans="2:11">
      <c r="B11" s="180"/>
      <c r="C11" s="181" t="s">
        <v>154</v>
      </c>
      <c r="D11" s="187">
        <f>'Historical BS'!H21</f>
        <v>7754.0527584407282</v>
      </c>
      <c r="E11" s="40">
        <f>($K$7+K11)*(1-tax_rate)</f>
        <v>4.0622999999999999E-2</v>
      </c>
      <c r="F11" s="139">
        <f t="shared" ref="F11:F12" si="0">E11*D11/$D$24</f>
        <v>3.4961969671513048E-3</v>
      </c>
      <c r="K11" s="474">
        <v>0.02</v>
      </c>
    </row>
    <row r="12" spans="2:11">
      <c r="B12" s="180"/>
      <c r="C12" s="181" t="s">
        <v>53</v>
      </c>
      <c r="D12" s="187">
        <f>'Historical BS'!H22-'Historical BS'!H37-'Historical BS'!H35-'Historical BS'!H36</f>
        <v>8591.26</v>
      </c>
      <c r="E12" s="40">
        <f>($K$7+K12)*(1-tax_rate)</f>
        <v>4.8008999999999996E-2</v>
      </c>
      <c r="F12" s="139">
        <f t="shared" si="0"/>
        <v>4.5779882081435188E-3</v>
      </c>
      <c r="K12" s="475">
        <v>0.03</v>
      </c>
    </row>
    <row r="13" spans="2:11">
      <c r="B13" s="123" t="s">
        <v>54</v>
      </c>
      <c r="C13" s="183"/>
      <c r="D13" s="188">
        <f>SUM(D10:D12)</f>
        <v>19514.476397036975</v>
      </c>
      <c r="E13" s="184"/>
      <c r="F13" s="185">
        <f>SUM(F10:F12)</f>
        <v>9.2433120097802583E-3</v>
      </c>
      <c r="K13" s="507" t="s">
        <v>380</v>
      </c>
    </row>
    <row r="14" spans="2:11">
      <c r="B14" s="124"/>
      <c r="C14" s="36"/>
      <c r="D14" s="187"/>
      <c r="E14" s="40"/>
      <c r="F14" s="139"/>
      <c r="K14" s="508">
        <f>F25</f>
        <v>0.155</v>
      </c>
    </row>
    <row r="15" spans="2:11">
      <c r="B15" s="152" t="s">
        <v>155</v>
      </c>
      <c r="C15" s="153"/>
      <c r="D15" s="418"/>
      <c r="E15" s="155"/>
      <c r="F15" s="156"/>
      <c r="K15" s="509" t="s">
        <v>381</v>
      </c>
    </row>
    <row r="16" spans="2:11">
      <c r="B16" s="180" t="s">
        <v>56</v>
      </c>
      <c r="C16" s="186"/>
      <c r="D16" s="187">
        <f>'Trade Name and Trademarks'!G26</f>
        <v>3980</v>
      </c>
      <c r="E16" s="40">
        <f>K$14+K16</f>
        <v>0.155</v>
      </c>
      <c r="F16" s="139">
        <f t="shared" ref="F16:F23" si="1">E16*D16/$D$24</f>
        <v>6.8471511908092262E-3</v>
      </c>
      <c r="K16" s="510">
        <v>0</v>
      </c>
    </row>
    <row r="17" spans="2:11">
      <c r="B17" s="180" t="s">
        <v>39</v>
      </c>
      <c r="C17" s="186"/>
      <c r="D17" s="187">
        <f>Technology!G34</f>
        <v>28508</v>
      </c>
      <c r="E17" s="40">
        <f>K$14+K17</f>
        <v>0.155</v>
      </c>
      <c r="F17" s="139">
        <f t="shared" si="1"/>
        <v>4.9044870891354127E-2</v>
      </c>
      <c r="K17" s="510">
        <v>0</v>
      </c>
    </row>
    <row r="18" spans="2:11">
      <c r="B18" s="180" t="s">
        <v>302</v>
      </c>
      <c r="C18" s="186"/>
      <c r="D18" s="187">
        <f>'Non-Compete Agreement_A'!Y19+'Non-Compete Agreement_B'!Y19</f>
        <v>922</v>
      </c>
      <c r="E18" s="40">
        <f>K$14+K18</f>
        <v>0.155</v>
      </c>
      <c r="F18" s="139">
        <f t="shared" ref="F18" si="2">E18*D18/$D$24</f>
        <v>1.5861993462125898E-3</v>
      </c>
      <c r="K18" s="510">
        <v>0</v>
      </c>
    </row>
    <row r="19" spans="2:11">
      <c r="B19" s="180" t="s">
        <v>416</v>
      </c>
      <c r="C19" s="186"/>
      <c r="D19" s="187">
        <f>'Customer Relationships'!F41</f>
        <v>86357.861368495287</v>
      </c>
      <c r="E19" s="40">
        <f>K$14+K19</f>
        <v>0.155</v>
      </c>
      <c r="F19" s="139">
        <f t="shared" ref="F19" si="3">E19*D19/$D$24</f>
        <v>0.14856917922236951</v>
      </c>
      <c r="K19" s="510">
        <v>0</v>
      </c>
    </row>
    <row r="20" spans="2:11">
      <c r="B20" s="180" t="s">
        <v>217</v>
      </c>
      <c r="C20" s="186"/>
      <c r="D20" s="187">
        <f>'Assembled Workforce'!E28</f>
        <v>9915.8364800037853</v>
      </c>
      <c r="E20" s="40">
        <f>K$14+K20</f>
        <v>0.155</v>
      </c>
      <c r="F20" s="139">
        <f t="shared" si="1"/>
        <v>1.7059103407519469E-2</v>
      </c>
      <c r="K20" s="510">
        <v>0</v>
      </c>
    </row>
    <row r="21" spans="2:11">
      <c r="B21" s="123" t="s">
        <v>156</v>
      </c>
      <c r="C21" s="183"/>
      <c r="D21" s="188">
        <f>SUM(D16:D20)</f>
        <v>129683.69784849907</v>
      </c>
      <c r="E21" s="184"/>
      <c r="F21" s="185">
        <f>SUM(F16:F20)</f>
        <v>0.22310650405826493</v>
      </c>
      <c r="K21" s="511"/>
    </row>
    <row r="22" spans="2:11">
      <c r="B22" s="123"/>
      <c r="C22" s="183"/>
      <c r="D22" s="188"/>
      <c r="E22" s="184"/>
      <c r="F22" s="185"/>
    </row>
    <row r="23" spans="2:11">
      <c r="B23" s="180" t="s">
        <v>59</v>
      </c>
      <c r="C23" s="36"/>
      <c r="D23" s="187">
        <f>D24-D13-D21</f>
        <v>-59102.310606939791</v>
      </c>
      <c r="E23" s="182">
        <v>0.22500000000000001</v>
      </c>
      <c r="F23" s="139">
        <f t="shared" si="1"/>
        <v>-0.14759856168207819</v>
      </c>
    </row>
    <row r="24" spans="2:11" ht="15.75" thickBot="1">
      <c r="B24" s="159" t="s">
        <v>49</v>
      </c>
      <c r="C24" s="178"/>
      <c r="D24" s="162">
        <f>D27-D26</f>
        <v>90095.863638596245</v>
      </c>
      <c r="E24" s="162"/>
      <c r="F24" s="423">
        <f>F23+F21+F13</f>
        <v>8.4751254385967006E-2</v>
      </c>
      <c r="G24" s="25" t="s">
        <v>169</v>
      </c>
    </row>
    <row r="25" spans="2:11" s="26" customFormat="1" ht="15.75" thickBot="1">
      <c r="B25" s="190"/>
      <c r="D25" s="419"/>
      <c r="E25" s="54"/>
      <c r="F25" s="194">
        <f>WACC!G23</f>
        <v>0.155</v>
      </c>
      <c r="G25" s="25" t="s">
        <v>170</v>
      </c>
    </row>
    <row r="26" spans="2:11" ht="15.75" thickBot="1">
      <c r="B26" s="191" t="s">
        <v>344</v>
      </c>
      <c r="C26" s="192"/>
      <c r="D26" s="520">
        <f>IRR!T35</f>
        <v>-1095.8636385962454</v>
      </c>
      <c r="E26" s="80"/>
      <c r="F26" s="195">
        <f>IRR!F29</f>
        <v>0.15516388602755424</v>
      </c>
      <c r="G26" s="25" t="s">
        <v>171</v>
      </c>
    </row>
    <row r="27" spans="2:11" ht="15.75" thickBot="1">
      <c r="B27" s="159" t="s">
        <v>49</v>
      </c>
      <c r="C27" s="178"/>
      <c r="D27" s="193">
        <f>'Summary of Values'!E11</f>
        <v>89000</v>
      </c>
      <c r="E27" s="189"/>
      <c r="F27" s="53"/>
    </row>
    <row r="28" spans="2:11">
      <c r="B28" s="3"/>
      <c r="C28" s="3"/>
      <c r="D28" s="3"/>
      <c r="E28" s="3"/>
      <c r="F28" s="3"/>
    </row>
  </sheetData>
  <pageMargins left="0.5" right="0.5" top="0.5" bottom="0.5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J30"/>
  <sheetViews>
    <sheetView showGridLines="0" view="pageBreakPreview" zoomScale="80" zoomScaleNormal="100" zoomScaleSheetLayoutView="80" workbookViewId="0"/>
  </sheetViews>
  <sheetFormatPr defaultRowHeight="15"/>
  <cols>
    <col min="1" max="1" width="3.5703125" customWidth="1"/>
    <col min="2" max="2" width="20.5703125" customWidth="1"/>
    <col min="3" max="3" width="12" customWidth="1"/>
    <col min="4" max="4" width="10.7109375" customWidth="1"/>
    <col min="5" max="5" width="14.7109375" customWidth="1"/>
    <col min="6" max="6" width="6" customWidth="1"/>
    <col min="7" max="7" width="20.5703125" customWidth="1"/>
    <col min="8" max="8" width="12" customWidth="1"/>
    <col min="10" max="10" width="14.7109375" customWidth="1"/>
    <col min="11" max="11" width="2.7109375" customWidth="1"/>
    <col min="15" max="15" width="3.5703125" customWidth="1"/>
  </cols>
  <sheetData>
    <row r="1" spans="2:10" ht="15.75">
      <c r="B1" s="18" t="str">
        <f>Acq_name</f>
        <v>[Acq.Co. Holdings Ltd.]</v>
      </c>
      <c r="J1" s="34" t="str">
        <f>"Exhibit: "&amp;INDEX(TOC!$B$5:$E$34,MATCH($B$3,TOC!$E$5:$E$36,0),COLUMNS(TOC!F5))&amp;L1</f>
        <v>Exhibit: C</v>
      </c>
    </row>
    <row r="2" spans="2:10">
      <c r="B2" s="19" t="str">
        <f>Targ_name</f>
        <v>[ABC Corporation]</v>
      </c>
    </row>
    <row r="3" spans="2:10">
      <c r="B3" s="20" t="str">
        <f>TOC!E11</f>
        <v>Weighted Average Cost of Capital</v>
      </c>
    </row>
    <row r="4" spans="2:10">
      <c r="B4" s="25" t="str">
        <f>"Valuation as of "&amp;TEXT(Val_date,"DD MMMM YYYY")</f>
        <v>Valuation as of 31 March 2020</v>
      </c>
    </row>
    <row r="5" spans="2:10">
      <c r="B5" s="27" t="str">
        <f>'Key Inputs and Assumptions'!C24</f>
        <v>(in USD ‘000s unless specified otherwise)</v>
      </c>
    </row>
    <row r="6" spans="2:10" ht="15.75" thickBot="1">
      <c r="B6" s="3"/>
      <c r="C6" s="3"/>
      <c r="D6" s="3"/>
      <c r="E6" s="3"/>
      <c r="F6" s="3"/>
      <c r="G6" s="3"/>
      <c r="H6" s="3"/>
      <c r="I6" s="3"/>
      <c r="J6" s="3"/>
    </row>
    <row r="7" spans="2:10">
      <c r="B7" s="117" t="s">
        <v>145</v>
      </c>
      <c r="C7" s="118"/>
      <c r="D7" s="335"/>
      <c r="E7" s="518" t="s">
        <v>404</v>
      </c>
      <c r="F7" s="3"/>
      <c r="G7" s="764" t="s">
        <v>134</v>
      </c>
      <c r="H7" s="765"/>
      <c r="I7" s="765"/>
      <c r="J7" s="766"/>
    </row>
    <row r="8" spans="2:10">
      <c r="B8" s="124" t="s">
        <v>47</v>
      </c>
      <c r="C8" s="186"/>
      <c r="D8" s="186"/>
      <c r="E8" s="378">
        <f>1/('Beta Calculation'!J16+1)</f>
        <v>0.78436138408115441</v>
      </c>
      <c r="F8" s="3"/>
      <c r="G8" s="124" t="s">
        <v>135</v>
      </c>
      <c r="H8" s="36"/>
      <c r="I8" s="36"/>
      <c r="J8" s="336">
        <f>'Beta Calculation'!N20</f>
        <v>0.89</v>
      </c>
    </row>
    <row r="9" spans="2:10">
      <c r="B9" s="124" t="s">
        <v>48</v>
      </c>
      <c r="C9" s="186"/>
      <c r="D9" s="186"/>
      <c r="E9" s="378">
        <f>1-E8</f>
        <v>0.21563861591884559</v>
      </c>
      <c r="F9" s="3"/>
      <c r="G9" s="124" t="s">
        <v>136</v>
      </c>
      <c r="H9" s="36"/>
      <c r="I9" s="337" t="s">
        <v>173</v>
      </c>
      <c r="J9" s="139">
        <f>E9/E8</f>
        <v>0.27492252971053255</v>
      </c>
    </row>
    <row r="10" spans="2:10" ht="15.75" thickBot="1">
      <c r="B10" s="330" t="s">
        <v>143</v>
      </c>
      <c r="C10" s="483"/>
      <c r="D10" s="331"/>
      <c r="E10" s="345">
        <f>SUM(E8:E9)</f>
        <v>1</v>
      </c>
      <c r="F10" s="3"/>
      <c r="G10" s="124" t="s">
        <v>137</v>
      </c>
      <c r="H10" s="36"/>
      <c r="I10" s="36"/>
      <c r="J10" s="139">
        <f>E15</f>
        <v>0.26140000000000002</v>
      </c>
    </row>
    <row r="11" spans="2:10">
      <c r="B11" s="3"/>
      <c r="C11" s="3"/>
      <c r="D11" s="3"/>
      <c r="E11" s="3"/>
      <c r="F11" s="3"/>
      <c r="G11" s="124" t="s">
        <v>144</v>
      </c>
      <c r="H11" s="36"/>
      <c r="I11" s="338" t="s">
        <v>174</v>
      </c>
      <c r="J11" s="339">
        <v>1.2200000000000001E-2</v>
      </c>
    </row>
    <row r="12" spans="2:10" ht="15.75" thickBot="1">
      <c r="F12" s="3"/>
      <c r="G12" s="124" t="s">
        <v>138</v>
      </c>
      <c r="H12" s="36"/>
      <c r="I12" s="36"/>
      <c r="J12" s="340">
        <f>J8*(1+(J9*(1-J10)))</f>
        <v>1.0707214245953374</v>
      </c>
    </row>
    <row r="13" spans="2:10">
      <c r="B13" s="764" t="s">
        <v>158</v>
      </c>
      <c r="C13" s="765"/>
      <c r="D13" s="765"/>
      <c r="E13" s="766"/>
      <c r="F13" s="3"/>
      <c r="G13" s="124" t="s">
        <v>139</v>
      </c>
      <c r="H13" s="36"/>
      <c r="I13" s="337" t="s">
        <v>176</v>
      </c>
      <c r="J13" s="339">
        <v>5.2299999999999999E-2</v>
      </c>
    </row>
    <row r="14" spans="2:10">
      <c r="B14" s="124" t="s">
        <v>392</v>
      </c>
      <c r="C14" s="186"/>
      <c r="D14" s="337" t="s">
        <v>172</v>
      </c>
      <c r="E14" s="138">
        <f>'Key Inputs and Assumptions'!$C$22</f>
        <v>3.5000000000000003E-2</v>
      </c>
      <c r="F14" s="3"/>
      <c r="G14" s="124" t="s">
        <v>140</v>
      </c>
      <c r="H14" s="36"/>
      <c r="I14" s="36"/>
      <c r="J14" s="339">
        <v>0.06</v>
      </c>
    </row>
    <row r="15" spans="2:10">
      <c r="B15" s="124" t="s">
        <v>142</v>
      </c>
      <c r="C15" s="186"/>
      <c r="D15" s="36"/>
      <c r="E15" s="138">
        <f>tax_rate</f>
        <v>0.26140000000000002</v>
      </c>
      <c r="F15" s="3"/>
      <c r="G15" s="124" t="s">
        <v>175</v>
      </c>
      <c r="H15" s="36"/>
      <c r="I15" s="337" t="s">
        <v>382</v>
      </c>
      <c r="J15" s="339">
        <v>6.0999999999999999E-2</v>
      </c>
    </row>
    <row r="16" spans="2:10" ht="15.75" thickBot="1">
      <c r="B16" s="330" t="s">
        <v>143</v>
      </c>
      <c r="C16" s="483"/>
      <c r="D16" s="331"/>
      <c r="E16" s="345">
        <f>E14*(1-E15)</f>
        <v>2.5850999999999999E-2</v>
      </c>
      <c r="F16" s="3"/>
      <c r="G16" s="330" t="s">
        <v>141</v>
      </c>
      <c r="H16" s="331"/>
      <c r="I16" s="331"/>
      <c r="J16" s="345">
        <f>J11+(J12*J13)+J14+J15</f>
        <v>0.18919873050633612</v>
      </c>
    </row>
    <row r="17" spans="2:10">
      <c r="C17" s="3"/>
      <c r="D17" s="3"/>
      <c r="E17" s="3"/>
      <c r="F17" s="3"/>
      <c r="G17" s="3"/>
      <c r="H17" s="3"/>
      <c r="I17" s="3"/>
      <c r="J17" s="3"/>
    </row>
    <row r="18" spans="2:10" ht="15.75" thickBot="1">
      <c r="B18" s="3"/>
      <c r="C18" s="3"/>
      <c r="D18" s="3"/>
      <c r="E18" s="3"/>
      <c r="F18" s="3"/>
      <c r="G18" s="3"/>
      <c r="H18" s="3"/>
      <c r="I18" s="3"/>
      <c r="J18" s="3"/>
    </row>
    <row r="19" spans="2:10">
      <c r="B19" s="117" t="s">
        <v>146</v>
      </c>
      <c r="C19" s="118"/>
      <c r="D19" s="335"/>
      <c r="E19" s="118"/>
      <c r="F19" s="341"/>
      <c r="G19" s="137"/>
      <c r="H19" s="3"/>
      <c r="I19" s="3"/>
      <c r="J19" s="3"/>
    </row>
    <row r="20" spans="2:10">
      <c r="B20" s="124" t="s">
        <v>147</v>
      </c>
      <c r="C20" s="36"/>
      <c r="D20" s="36"/>
      <c r="E20" s="40">
        <f>E9</f>
        <v>0.21563861591884559</v>
      </c>
      <c r="F20" s="186"/>
      <c r="G20" s="139">
        <f>E16</f>
        <v>2.5850999999999999E-2</v>
      </c>
      <c r="I20" s="3"/>
      <c r="J20" s="3"/>
    </row>
    <row r="21" spans="2:10">
      <c r="B21" s="124" t="s">
        <v>47</v>
      </c>
      <c r="C21" s="36"/>
      <c r="D21" s="36"/>
      <c r="E21" s="40">
        <f>1-E20</f>
        <v>0.78436138408115441</v>
      </c>
      <c r="F21" s="186"/>
      <c r="G21" s="139">
        <f>J16</f>
        <v>0.18919873050633612</v>
      </c>
      <c r="I21" s="3"/>
      <c r="J21" s="3"/>
    </row>
    <row r="22" spans="2:10">
      <c r="B22" s="342" t="s">
        <v>148</v>
      </c>
      <c r="C22" s="343"/>
      <c r="D22" s="343"/>
      <c r="E22" s="343"/>
      <c r="F22" s="343"/>
      <c r="G22" s="344">
        <f>SUMPRODUCT(E20:E21,G20:G21)</f>
        <v>0.15397465198646521</v>
      </c>
      <c r="I22" s="3"/>
      <c r="J22" s="3"/>
    </row>
    <row r="23" spans="2:10" ht="15.75" thickBot="1">
      <c r="B23" s="330" t="s">
        <v>149</v>
      </c>
      <c r="C23" s="331"/>
      <c r="D23" s="331"/>
      <c r="E23" s="331"/>
      <c r="F23" s="331"/>
      <c r="G23" s="345">
        <f>MROUND(G22,0.5%)</f>
        <v>0.155</v>
      </c>
      <c r="H23" s="3"/>
      <c r="I23" s="3"/>
      <c r="J23" s="3"/>
    </row>
    <row r="25" spans="2:10">
      <c r="B25" s="55" t="s">
        <v>177</v>
      </c>
    </row>
    <row r="26" spans="2:10">
      <c r="B26" s="55" t="str">
        <f>D14&amp;" Source: Prime rate"</f>
        <v>(a) Source: Prime rate</v>
      </c>
    </row>
    <row r="27" spans="2:10">
      <c r="B27" s="56" t="str">
        <f>I9&amp;" Based on assumed Debt/Equity Structure of "&amp;Targ_name</f>
        <v>(b) Based on assumed Debt/Equity Structure of [ABC Corporation]</v>
      </c>
    </row>
    <row r="28" spans="2:10">
      <c r="B28" s="56" t="str">
        <f>I11&amp;" Source: Federal Reserve Board statistical release as of: " &amp;TEXT(Val_date,"DD MMM YYYY")</f>
        <v>(c) Source: Federal Reserve Board statistical release as of: 31 Mar 2020</v>
      </c>
    </row>
    <row r="29" spans="2:10">
      <c r="B29" s="56" t="str">
        <f>I13&amp;" Equity risk premium based on academic studies by Aswath Damodaran. Dated: July 1, 2020."</f>
        <v>(d) Equity risk premium based on academic studies by Aswath Damodaran. Dated: July 1, 2020.</v>
      </c>
    </row>
    <row r="30" spans="2:10">
      <c r="B30" s="56" t="str">
        <f>I15&amp;" Small stock risk premium based on Duff &amp; Phelps Systemic risk Premium Table"</f>
        <v>(e) Small stock risk premium based on Duff &amp; Phelps Systemic risk Premium Table</v>
      </c>
    </row>
  </sheetData>
  <mergeCells count="2">
    <mergeCell ref="B13:E13"/>
    <mergeCell ref="G7:J7"/>
  </mergeCells>
  <pageMargins left="0.5" right="0.5" top="0.5" bottom="0.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45</vt:i4>
      </vt:variant>
    </vt:vector>
  </HeadingPairs>
  <TitlesOfParts>
    <vt:vector size="78" baseType="lpstr">
      <vt:lpstr>Key Inputs and Assumptions</vt:lpstr>
      <vt:lpstr>Print &gt;&gt;</vt:lpstr>
      <vt:lpstr>Exhibits</vt:lpstr>
      <vt:lpstr>Cover</vt:lpstr>
      <vt:lpstr>TOC</vt:lpstr>
      <vt:lpstr>Summary of Values</vt:lpstr>
      <vt:lpstr>Rates of Return &gt;&gt;</vt:lpstr>
      <vt:lpstr>WARA</vt:lpstr>
      <vt:lpstr>WACC</vt:lpstr>
      <vt:lpstr>Beta Calculation</vt:lpstr>
      <vt:lpstr>IRR</vt:lpstr>
      <vt:lpstr>Financial Statements &gt;&gt;</vt:lpstr>
      <vt:lpstr>Historical IS</vt:lpstr>
      <vt:lpstr>Historical BS</vt:lpstr>
      <vt:lpstr>PFI</vt:lpstr>
      <vt:lpstr>Intangible Asset Valuation &gt;&gt;</vt:lpstr>
      <vt:lpstr>Trade Name and Trademarks</vt:lpstr>
      <vt:lpstr>Tradename RR Support</vt:lpstr>
      <vt:lpstr>Non-Compete Agreement_A</vt:lpstr>
      <vt:lpstr>Non-Compete Agreement_B</vt:lpstr>
      <vt:lpstr>Technology</vt:lpstr>
      <vt:lpstr>Assembled Workforce</vt:lpstr>
      <vt:lpstr>CAC</vt:lpstr>
      <vt:lpstr>Workpapers &gt;&gt;</vt:lpstr>
      <vt:lpstr>Comp. Growth &amp; Margins</vt:lpstr>
      <vt:lpstr>Comp. Capex, Dep &amp; NWC</vt:lpstr>
      <vt:lpstr>Not Used&gt;&gt;</vt:lpstr>
      <vt:lpstr>Dev. Tech. RFR</vt:lpstr>
      <vt:lpstr>Tech RR Support</vt:lpstr>
      <vt:lpstr>Customer Relationships</vt:lpstr>
      <vt:lpstr>Customer Attrition</vt:lpstr>
      <vt:lpstr>Sales Attrition</vt:lpstr>
      <vt:lpstr>Inventory</vt:lpstr>
      <vt:lpstr>Acq_name</vt:lpstr>
      <vt:lpstr>LFY</vt:lpstr>
      <vt:lpstr>LTGR</vt:lpstr>
      <vt:lpstr>nwc_req</vt:lpstr>
      <vt:lpstr>'Assembled Workforce'!Print_Area</vt:lpstr>
      <vt:lpstr>'Beta Calculation'!Print_Area</vt:lpstr>
      <vt:lpstr>CAC!Print_Area</vt:lpstr>
      <vt:lpstr>'Comp. Capex, Dep &amp; NWC'!Print_Area</vt:lpstr>
      <vt:lpstr>'Comp. Growth &amp; Margins'!Print_Area</vt:lpstr>
      <vt:lpstr>Cover!Print_Area</vt:lpstr>
      <vt:lpstr>'Customer Attrition'!Print_Area</vt:lpstr>
      <vt:lpstr>'Customer Relationships'!Print_Area</vt:lpstr>
      <vt:lpstr>'Dev. Tech. RFR'!Print_Area</vt:lpstr>
      <vt:lpstr>Exhibits!Print_Area</vt:lpstr>
      <vt:lpstr>'Financial Statements &gt;&gt;'!Print_Area</vt:lpstr>
      <vt:lpstr>'Historical BS'!Print_Area</vt:lpstr>
      <vt:lpstr>'Historical IS'!Print_Area</vt:lpstr>
      <vt:lpstr>'Intangible Asset Valuation &gt;&gt;'!Print_Area</vt:lpstr>
      <vt:lpstr>IRR!Print_Area</vt:lpstr>
      <vt:lpstr>'Non-Compete Agreement_A'!Print_Area</vt:lpstr>
      <vt:lpstr>'Non-Compete Agreement_B'!Print_Area</vt:lpstr>
      <vt:lpstr>PFI!Print_Area</vt:lpstr>
      <vt:lpstr>'Rates of Return &gt;&gt;'!Print_Area</vt:lpstr>
      <vt:lpstr>'Sales Attrition'!Print_Area</vt:lpstr>
      <vt:lpstr>'Summary of Values'!Print_Area</vt:lpstr>
      <vt:lpstr>'Tech RR Support'!Print_Area</vt:lpstr>
      <vt:lpstr>Technology!Print_Area</vt:lpstr>
      <vt:lpstr>TOC!Print_Area</vt:lpstr>
      <vt:lpstr>'Trade Name and Trademarks'!Print_Area</vt:lpstr>
      <vt:lpstr>'Tradename RR Support'!Print_Area</vt:lpstr>
      <vt:lpstr>WACC!Print_Area</vt:lpstr>
      <vt:lpstr>WARA!Print_Area</vt:lpstr>
      <vt:lpstr>'Workpapers &gt;&gt;'!Print_Area</vt:lpstr>
      <vt:lpstr>'Customer Attrition'!Print_Titles</vt:lpstr>
      <vt:lpstr>'Dev. Tech. RFR'!Print_Titles</vt:lpstr>
      <vt:lpstr>'Non-Compete Agreement_A'!Print_Titles</vt:lpstr>
      <vt:lpstr>'Non-Compete Agreement_B'!Print_Titles</vt:lpstr>
      <vt:lpstr>PFI!Print_Titles</vt:lpstr>
      <vt:lpstr>'Sales Attrition'!Print_Titles</vt:lpstr>
      <vt:lpstr>Technology!Print_Titles</vt:lpstr>
      <vt:lpstr>stub</vt:lpstr>
      <vt:lpstr>Targ_name</vt:lpstr>
      <vt:lpstr>tax_rate</vt:lpstr>
      <vt:lpstr>TTM</vt:lpstr>
      <vt:lpstr>Val_date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Mittal</dc:creator>
  <cp:lastModifiedBy>Ayush Mittal</cp:lastModifiedBy>
  <cp:lastPrinted>2020-12-16T12:52:27Z</cp:lastPrinted>
  <dcterms:created xsi:type="dcterms:W3CDTF">2020-12-10T04:42:18Z</dcterms:created>
  <dcterms:modified xsi:type="dcterms:W3CDTF">2020-12-16T13:49:16Z</dcterms:modified>
</cp:coreProperties>
</file>