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m4\Financial Valuation\Session 8\"/>
    </mc:Choice>
  </mc:AlternateContent>
  <bookViews>
    <workbookView xWindow="240" yWindow="60" windowWidth="11475" windowHeight="5445" activeTab="3"/>
  </bookViews>
  <sheets>
    <sheet name="Sheet1" sheetId="1" r:id="rId1"/>
    <sheet name="VCs Valuation" sheetId="5" r:id="rId2"/>
    <sheet name="Tax Sheild" sheetId="4" r:id="rId3"/>
    <sheet name="Multiple Valuation" sheetId="2" r:id="rId4"/>
    <sheet name="Beta Calc" sheetId="3" r:id="rId5"/>
  </sheets>
  <calcPr calcId="152511"/>
</workbook>
</file>

<file path=xl/calcChain.xml><?xml version="1.0" encoding="utf-8"?>
<calcChain xmlns="http://schemas.openxmlformats.org/spreadsheetml/2006/main">
  <c r="F55" i="1" l="1"/>
  <c r="F52" i="1"/>
  <c r="E52" i="1"/>
  <c r="E55" i="1"/>
  <c r="F51" i="1"/>
  <c r="E51" i="1"/>
  <c r="C6" i="5"/>
  <c r="C7" i="5"/>
  <c r="C4" i="5"/>
  <c r="C12" i="3"/>
  <c r="C3" i="5"/>
  <c r="E47" i="1"/>
  <c r="E46" i="1"/>
  <c r="D21" i="4"/>
  <c r="E20" i="4"/>
  <c r="F20" i="4"/>
  <c r="G20" i="4"/>
  <c r="H20" i="4"/>
  <c r="I20" i="4"/>
  <c r="D20" i="4"/>
  <c r="I19" i="4"/>
  <c r="H18" i="4"/>
  <c r="I18" i="4"/>
  <c r="G18" i="4"/>
  <c r="I17" i="4"/>
  <c r="H17" i="4"/>
  <c r="G17" i="4"/>
  <c r="J38" i="1"/>
  <c r="J41" i="1"/>
  <c r="E44" i="1"/>
  <c r="E43" i="1"/>
  <c r="E41" i="1"/>
  <c r="F41" i="1"/>
  <c r="G41" i="1"/>
  <c r="H41" i="1"/>
  <c r="I41" i="1"/>
  <c r="F40" i="1"/>
  <c r="G40" i="1"/>
  <c r="H40" i="1"/>
  <c r="I40" i="1"/>
  <c r="J40" i="1"/>
  <c r="E40" i="1"/>
  <c r="J37" i="1"/>
  <c r="E35" i="1"/>
  <c r="C8" i="3"/>
  <c r="C3" i="3"/>
  <c r="E37" i="2"/>
  <c r="K37" i="2"/>
  <c r="K18" i="2"/>
  <c r="E18" i="2"/>
  <c r="D2" i="3"/>
  <c r="C2" i="3"/>
  <c r="E34" i="2"/>
  <c r="E35" i="2" s="1"/>
  <c r="E36" i="2" s="1"/>
  <c r="K36" i="2"/>
  <c r="K17" i="2"/>
  <c r="E17" i="2"/>
  <c r="K34" i="2"/>
  <c r="K35" i="2"/>
  <c r="K15" i="2"/>
  <c r="K16" i="2" s="1"/>
  <c r="E16" i="2"/>
  <c r="E15" i="2"/>
  <c r="F34" i="1"/>
  <c r="G34" i="1"/>
  <c r="H34" i="1"/>
  <c r="I34" i="1"/>
  <c r="J34" i="1"/>
  <c r="E34" i="1"/>
  <c r="F32" i="1"/>
  <c r="G32" i="1"/>
  <c r="H32" i="1"/>
  <c r="I32" i="1"/>
  <c r="J32" i="1"/>
  <c r="E32" i="1"/>
  <c r="F31" i="1"/>
  <c r="G31" i="1"/>
  <c r="H31" i="1"/>
  <c r="I31" i="1"/>
  <c r="J31" i="1"/>
  <c r="E31" i="1"/>
  <c r="F29" i="1"/>
  <c r="G29" i="1"/>
  <c r="H29" i="1"/>
  <c r="I29" i="1"/>
  <c r="J29" i="1"/>
  <c r="E29" i="1"/>
  <c r="F23" i="1"/>
  <c r="G23" i="1"/>
  <c r="H23" i="1"/>
  <c r="I23" i="1"/>
  <c r="J23" i="1"/>
  <c r="E23" i="1"/>
  <c r="F21" i="1"/>
  <c r="G21" i="1"/>
  <c r="H21" i="1"/>
  <c r="I21" i="1"/>
  <c r="J21" i="1"/>
  <c r="E21" i="1"/>
  <c r="J17" i="1"/>
  <c r="I17" i="1"/>
  <c r="H17" i="1"/>
  <c r="G17" i="1"/>
  <c r="F17" i="1"/>
  <c r="E17" i="1"/>
</calcChain>
</file>

<file path=xl/comments1.xml><?xml version="1.0" encoding="utf-8"?>
<comments xmlns="http://schemas.openxmlformats.org/spreadsheetml/2006/main">
  <authors>
    <author>ANKUR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ANKUR:</t>
        </r>
        <r>
          <rPr>
            <sz val="9"/>
            <color indexed="81"/>
            <rFont val="Tahoma"/>
            <family val="2"/>
          </rPr>
          <t xml:space="preserve">
Here The VC may not use the industrial average as the highest P/E company also has the highest market weight.
</t>
        </r>
      </text>
    </comment>
  </commentList>
</comments>
</file>

<file path=xl/sharedStrings.xml><?xml version="1.0" encoding="utf-8"?>
<sst xmlns="http://schemas.openxmlformats.org/spreadsheetml/2006/main" count="157" uniqueCount="78">
  <si>
    <t xml:space="preserve"> Base Case Capital Cash Flows Valuation</t>
  </si>
  <si>
    <t>Pro Forma Projections</t>
  </si>
  <si>
    <t>Income Statement</t>
  </si>
  <si>
    <t>Net Sales</t>
  </si>
  <si>
    <t>COGS</t>
  </si>
  <si>
    <t>Gross Profit</t>
  </si>
  <si>
    <t>SG&amp;A</t>
  </si>
  <si>
    <t>R&amp;D</t>
  </si>
  <si>
    <t>Earnings before Interest &amp; Tax</t>
  </si>
  <si>
    <t>Income Tax (35%)</t>
  </si>
  <si>
    <t>Net Earnings</t>
  </si>
  <si>
    <t>In the Sky</t>
  </si>
  <si>
    <t>We aew Good</t>
  </si>
  <si>
    <t>Sales</t>
  </si>
  <si>
    <t>Cap Ex</t>
  </si>
  <si>
    <t>Op Inc Bef Dep</t>
  </si>
  <si>
    <t>Net Inc</t>
  </si>
  <si>
    <t>Tot Assets</t>
  </si>
  <si>
    <t>Current Assets</t>
  </si>
  <si>
    <t>Current Liabilities</t>
  </si>
  <si>
    <t>Debt</t>
  </si>
  <si>
    <t>Net Worth</t>
  </si>
  <si>
    <t>Beta</t>
  </si>
  <si>
    <t>NA</t>
  </si>
  <si>
    <t>P/E</t>
  </si>
  <si>
    <t>Fun in a Cam</t>
  </si>
  <si>
    <t>Help</t>
  </si>
  <si>
    <t xml:space="preserve"> </t>
  </si>
  <si>
    <t>NWC</t>
  </si>
  <si>
    <t>CA</t>
  </si>
  <si>
    <t>Less:Excess Cash</t>
  </si>
  <si>
    <t>Net CA</t>
  </si>
  <si>
    <t>Less CL</t>
  </si>
  <si>
    <t>Net PPE</t>
  </si>
  <si>
    <t>Change in Net PPE</t>
  </si>
  <si>
    <t>WC</t>
  </si>
  <si>
    <t>Less: Inc in WC</t>
  </si>
  <si>
    <t>FCF</t>
  </si>
  <si>
    <t>Cost of Equity Capital</t>
  </si>
  <si>
    <t>Mkt Value Eqt</t>
  </si>
  <si>
    <t>D/e</t>
  </si>
  <si>
    <t>Unlevered Beta</t>
  </si>
  <si>
    <t>Avg B</t>
  </si>
  <si>
    <t>Equal</t>
  </si>
  <si>
    <t>Market</t>
  </si>
  <si>
    <t>Wt</t>
  </si>
  <si>
    <t>Rp</t>
  </si>
  <si>
    <t>Eq Cost of Cap</t>
  </si>
  <si>
    <t>Rf(GIVEN IN CASE)</t>
  </si>
  <si>
    <t>Terminal Value</t>
  </si>
  <si>
    <t>@5%</t>
  </si>
  <si>
    <t>@2%</t>
  </si>
  <si>
    <t>Total FCF</t>
  </si>
  <si>
    <t>PV</t>
  </si>
  <si>
    <t>BLS</t>
  </si>
  <si>
    <t>FA</t>
  </si>
  <si>
    <t>TA</t>
  </si>
  <si>
    <t>CL</t>
  </si>
  <si>
    <t>Eqt</t>
  </si>
  <si>
    <t>@10% interest</t>
  </si>
  <si>
    <t>Debt Tax Sheild</t>
  </si>
  <si>
    <t>Debt Amt</t>
  </si>
  <si>
    <t>IR</t>
  </si>
  <si>
    <t>IP</t>
  </si>
  <si>
    <t>Tax Sheild=(t$Interest Payment)</t>
  </si>
  <si>
    <t>TV of Tax Sheild</t>
  </si>
  <si>
    <t>Total Tax Sheild</t>
  </si>
  <si>
    <t>NPV of Tax Shield</t>
  </si>
  <si>
    <t>After Tax shield</t>
  </si>
  <si>
    <t>Earnings in 6 yrs</t>
  </si>
  <si>
    <t>PE ratio</t>
  </si>
  <si>
    <t>Terminal Vaalue</t>
  </si>
  <si>
    <t>PV at 60%</t>
  </si>
  <si>
    <t>Discount Rate</t>
  </si>
  <si>
    <t>Outcome</t>
  </si>
  <si>
    <t>Exact</t>
  </si>
  <si>
    <t>Half</t>
  </si>
  <si>
    <t>Nill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</si>
</sst>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164" formatCode="&quot;$&quot;#,##0.00_);[Red]\(&quot;$&quot;#,##0.00\)"/>
    <numFmt numFmtId="172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1" applyFont="1"/>
    <xf numFmtId="3" fontId="2" fillId="0" borderId="0" xfId="1" applyNumberFormat="1" applyFont="1"/>
    <xf numFmtId="0" fontId="5" fillId="0" borderId="0" xfId="0" applyFont="1"/>
    <xf numFmtId="0" fontId="5" fillId="0" borderId="0" xfId="0" applyFont="1" applyBorder="1" applyAlignment="1">
      <alignment vertical="top" wrapText="1"/>
    </xf>
    <xf numFmtId="164" fontId="5" fillId="0" borderId="0" xfId="0" applyNumberFormat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 applyBorder="1" applyAlignment="1">
      <alignment vertical="top" wrapText="1"/>
    </xf>
    <xf numFmtId="0" fontId="8" fillId="0" borderId="0" xfId="0" applyFont="1"/>
    <xf numFmtId="3" fontId="0" fillId="0" borderId="0" xfId="0" applyNumberFormat="1"/>
    <xf numFmtId="8" fontId="0" fillId="0" borderId="0" xfId="0" applyNumberFormat="1"/>
    <xf numFmtId="0" fontId="5" fillId="0" borderId="0" xfId="0" applyFont="1" applyFill="1" applyBorder="1" applyAlignment="1">
      <alignment vertical="top" wrapText="1"/>
    </xf>
    <xf numFmtId="2" fontId="5" fillId="0" borderId="0" xfId="0" applyNumberFormat="1" applyFont="1" applyBorder="1" applyAlignment="1">
      <alignment vertical="top" wrapText="1"/>
    </xf>
    <xf numFmtId="2" fontId="0" fillId="0" borderId="0" xfId="0" applyNumberFormat="1"/>
    <xf numFmtId="0" fontId="6" fillId="0" borderId="0" xfId="0" applyFont="1" applyBorder="1" applyAlignment="1">
      <alignment vertical="top" wrapText="1"/>
    </xf>
    <xf numFmtId="2" fontId="6" fillId="0" borderId="0" xfId="0" applyNumberFormat="1" applyFont="1" applyBorder="1" applyAlignment="1">
      <alignment vertical="top" wrapText="1"/>
    </xf>
    <xf numFmtId="9" fontId="0" fillId="0" borderId="0" xfId="0" applyNumberFormat="1"/>
    <xf numFmtId="10" fontId="0" fillId="0" borderId="0" xfId="0" applyNumberFormat="1"/>
    <xf numFmtId="10" fontId="0" fillId="0" borderId="0" xfId="2" applyNumberFormat="1" applyFont="1" applyAlignment="1">
      <alignment horizontal="left"/>
    </xf>
    <xf numFmtId="172" fontId="8" fillId="0" borderId="0" xfId="0" applyNumberFormat="1" applyFont="1"/>
    <xf numFmtId="0" fontId="0" fillId="0" borderId="0" xfId="0" quotePrefix="1"/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3" workbookViewId="0">
      <selection activeCell="D33" sqref="D33"/>
    </sheetView>
  </sheetViews>
  <sheetFormatPr defaultRowHeight="15" x14ac:dyDescent="0.25"/>
  <cols>
    <col min="5" max="5" width="12.28515625" bestFit="1" customWidth="1"/>
    <col min="6" max="6" width="10.7109375" bestFit="1" customWidth="1"/>
  </cols>
  <sheetData>
    <row r="1" spans="1:1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3" t="s">
        <v>27</v>
      </c>
      <c r="B3" s="1"/>
      <c r="C3" s="1"/>
      <c r="D3" s="1"/>
      <c r="E3" s="3"/>
      <c r="F3" s="3" t="s">
        <v>1</v>
      </c>
      <c r="G3" s="3"/>
      <c r="H3" s="3"/>
      <c r="I3" s="3"/>
      <c r="J3" s="3"/>
    </row>
    <row r="4" spans="1:10" ht="15.75" x14ac:dyDescent="0.25">
      <c r="A4" s="3" t="s">
        <v>2</v>
      </c>
      <c r="B4" s="1"/>
      <c r="C4" s="1"/>
      <c r="D4" s="1"/>
      <c r="E4" s="3">
        <v>1998</v>
      </c>
      <c r="F4" s="3">
        <v>1999</v>
      </c>
      <c r="G4" s="3">
        <v>2000</v>
      </c>
      <c r="H4" s="3">
        <v>2001</v>
      </c>
      <c r="I4" s="3">
        <v>2002</v>
      </c>
      <c r="J4" s="3">
        <v>2003</v>
      </c>
    </row>
    <row r="5" spans="1:10" ht="15.75" x14ac:dyDescent="0.25">
      <c r="A5" s="3" t="s">
        <v>3</v>
      </c>
      <c r="B5" s="1"/>
      <c r="C5" s="1"/>
      <c r="D5" s="1"/>
      <c r="E5" s="4">
        <v>8500</v>
      </c>
      <c r="F5" s="4">
        <v>15000</v>
      </c>
      <c r="G5" s="4">
        <v>35500</v>
      </c>
      <c r="H5" s="4">
        <v>46000</v>
      </c>
      <c r="I5" s="4">
        <v>52000</v>
      </c>
      <c r="J5" s="4">
        <v>60000</v>
      </c>
    </row>
    <row r="6" spans="1:10" ht="15.75" x14ac:dyDescent="0.25">
      <c r="A6" s="1" t="s">
        <v>4</v>
      </c>
      <c r="B6" s="1"/>
      <c r="C6" s="1"/>
      <c r="D6" s="1"/>
      <c r="E6" s="4">
        <v>3200</v>
      </c>
      <c r="F6" s="4">
        <v>5600</v>
      </c>
      <c r="G6" s="4">
        <v>14000</v>
      </c>
      <c r="H6" s="4">
        <v>18100</v>
      </c>
      <c r="I6" s="4">
        <v>20100</v>
      </c>
      <c r="J6" s="4">
        <v>24500</v>
      </c>
    </row>
    <row r="7" spans="1:10" ht="15.75" x14ac:dyDescent="0.25">
      <c r="A7" s="3" t="s">
        <v>5</v>
      </c>
      <c r="B7" s="1"/>
      <c r="C7" s="1"/>
      <c r="D7" s="1"/>
      <c r="E7" s="4">
        <v>5300</v>
      </c>
      <c r="F7" s="4">
        <v>9400</v>
      </c>
      <c r="G7" s="4">
        <v>21500</v>
      </c>
      <c r="H7" s="4">
        <v>27900</v>
      </c>
      <c r="I7" s="4">
        <v>31900</v>
      </c>
      <c r="J7" s="4">
        <v>35500</v>
      </c>
    </row>
    <row r="8" spans="1:10" ht="15.75" x14ac:dyDescent="0.25">
      <c r="A8" s="1" t="s">
        <v>6</v>
      </c>
      <c r="B8" s="1"/>
      <c r="C8" s="1"/>
      <c r="D8" s="1"/>
      <c r="E8" s="4">
        <v>3500</v>
      </c>
      <c r="F8" s="4">
        <v>5410</v>
      </c>
      <c r="G8" s="4">
        <v>6400</v>
      </c>
      <c r="H8" s="4">
        <v>5300</v>
      </c>
      <c r="I8" s="4">
        <v>7200</v>
      </c>
      <c r="J8" s="4">
        <v>7800</v>
      </c>
    </row>
    <row r="9" spans="1:10" ht="15.75" x14ac:dyDescent="0.25">
      <c r="A9" s="1" t="s">
        <v>7</v>
      </c>
      <c r="B9" s="1"/>
      <c r="C9" s="1"/>
      <c r="D9" s="1"/>
      <c r="E9" s="4">
        <v>1100</v>
      </c>
      <c r="F9" s="4">
        <v>2800</v>
      </c>
      <c r="G9" s="4">
        <v>4100</v>
      </c>
      <c r="H9" s="4">
        <v>5400</v>
      </c>
      <c r="I9" s="4">
        <v>6500</v>
      </c>
      <c r="J9" s="4">
        <v>7000</v>
      </c>
    </row>
    <row r="10" spans="1:10" ht="15.75" x14ac:dyDescent="0.25">
      <c r="A10" s="3" t="s">
        <v>8</v>
      </c>
      <c r="B10" s="1"/>
      <c r="C10" s="1"/>
      <c r="D10" s="1"/>
      <c r="E10" s="4">
        <v>700</v>
      </c>
      <c r="F10" s="4">
        <v>1190</v>
      </c>
      <c r="G10" s="4">
        <v>11000</v>
      </c>
      <c r="H10" s="4">
        <v>17200</v>
      </c>
      <c r="I10" s="4">
        <v>18200</v>
      </c>
      <c r="J10" s="4">
        <v>20700</v>
      </c>
    </row>
    <row r="11" spans="1:10" ht="15.75" x14ac:dyDescent="0.25">
      <c r="A11" s="1" t="s">
        <v>9</v>
      </c>
      <c r="B11" s="1"/>
      <c r="C11" s="1"/>
      <c r="D11" s="1"/>
      <c r="E11" s="4">
        <v>244.99999999999997</v>
      </c>
      <c r="F11" s="4">
        <v>416.5</v>
      </c>
      <c r="G11" s="4">
        <v>3849.9999999999995</v>
      </c>
      <c r="H11" s="4">
        <v>6020</v>
      </c>
      <c r="I11" s="4">
        <v>6370</v>
      </c>
      <c r="J11" s="4">
        <v>7244.9999999999991</v>
      </c>
    </row>
    <row r="12" spans="1:10" ht="15.75" x14ac:dyDescent="0.25">
      <c r="A12" s="3" t="s">
        <v>10</v>
      </c>
      <c r="B12" s="1"/>
      <c r="C12" s="1"/>
      <c r="D12" s="1"/>
      <c r="E12" s="4">
        <v>455</v>
      </c>
      <c r="F12" s="4">
        <v>773.5</v>
      </c>
      <c r="G12" s="4">
        <v>7150</v>
      </c>
      <c r="H12" s="4">
        <v>11180</v>
      </c>
      <c r="I12" s="4">
        <v>11830</v>
      </c>
      <c r="J12" s="4">
        <v>13455</v>
      </c>
    </row>
    <row r="17" spans="1:10" x14ac:dyDescent="0.25">
      <c r="A17" t="s">
        <v>28</v>
      </c>
      <c r="E17">
        <f>3171-1140</f>
        <v>2031</v>
      </c>
      <c r="F17">
        <f>4825-2005</f>
        <v>2820</v>
      </c>
      <c r="G17">
        <f>13939-4869</f>
        <v>9070</v>
      </c>
      <c r="H17">
        <f>25653-6302</f>
        <v>19351</v>
      </c>
      <c r="I17">
        <f>38045-7064</f>
        <v>30981</v>
      </c>
      <c r="J17">
        <f>52604-8369</f>
        <v>44235</v>
      </c>
    </row>
    <row r="19" spans="1:10" x14ac:dyDescent="0.25">
      <c r="A19" t="s">
        <v>29</v>
      </c>
      <c r="E19">
        <v>3171</v>
      </c>
      <c r="F19">
        <v>4825</v>
      </c>
      <c r="G19">
        <v>13939</v>
      </c>
      <c r="H19">
        <v>25753</v>
      </c>
      <c r="I19">
        <v>38045</v>
      </c>
      <c r="J19">
        <v>52604</v>
      </c>
    </row>
    <row r="20" spans="1:10" x14ac:dyDescent="0.25">
      <c r="A20" t="s">
        <v>30</v>
      </c>
      <c r="E20">
        <v>0</v>
      </c>
      <c r="F20">
        <v>0</v>
      </c>
      <c r="G20">
        <v>3793</v>
      </c>
      <c r="H20">
        <v>12907</v>
      </c>
      <c r="I20">
        <v>23699</v>
      </c>
      <c r="J20">
        <v>36042</v>
      </c>
    </row>
    <row r="21" spans="1:10" x14ac:dyDescent="0.25">
      <c r="A21" t="s">
        <v>31</v>
      </c>
      <c r="E21">
        <f>E19-E20</f>
        <v>3171</v>
      </c>
      <c r="F21">
        <f t="shared" ref="F21:J21" si="0">F19-F20</f>
        <v>4825</v>
      </c>
      <c r="G21">
        <f t="shared" si="0"/>
        <v>10146</v>
      </c>
      <c r="H21">
        <f t="shared" si="0"/>
        <v>12846</v>
      </c>
      <c r="I21">
        <f t="shared" si="0"/>
        <v>14346</v>
      </c>
      <c r="J21">
        <f t="shared" si="0"/>
        <v>16562</v>
      </c>
    </row>
    <row r="22" spans="1:10" x14ac:dyDescent="0.25">
      <c r="A22" t="s">
        <v>32</v>
      </c>
      <c r="E22">
        <v>1140</v>
      </c>
      <c r="F22">
        <v>2005</v>
      </c>
      <c r="G22">
        <v>4869</v>
      </c>
      <c r="H22">
        <v>6302</v>
      </c>
      <c r="I22">
        <v>7064</v>
      </c>
      <c r="J22">
        <v>8369</v>
      </c>
    </row>
    <row r="23" spans="1:10" x14ac:dyDescent="0.25">
      <c r="A23" t="s">
        <v>28</v>
      </c>
      <c r="E23">
        <f>E21-E22</f>
        <v>2031</v>
      </c>
      <c r="F23">
        <f t="shared" ref="F23:J23" si="1">F21-F22</f>
        <v>2820</v>
      </c>
      <c r="G23">
        <f t="shared" si="1"/>
        <v>5277</v>
      </c>
      <c r="H23">
        <f t="shared" si="1"/>
        <v>6544</v>
      </c>
      <c r="I23">
        <f t="shared" si="1"/>
        <v>7282</v>
      </c>
      <c r="J23">
        <f t="shared" si="1"/>
        <v>8193</v>
      </c>
    </row>
    <row r="28" spans="1:10" x14ac:dyDescent="0.25">
      <c r="A28" t="s">
        <v>33</v>
      </c>
      <c r="E28">
        <v>906</v>
      </c>
      <c r="F28">
        <v>2300</v>
      </c>
      <c r="G28">
        <v>3200</v>
      </c>
      <c r="H28">
        <v>4000</v>
      </c>
      <c r="I28">
        <v>4300</v>
      </c>
      <c r="J28">
        <v>4500</v>
      </c>
    </row>
    <row r="29" spans="1:10" x14ac:dyDescent="0.25">
      <c r="A29" s="10" t="s">
        <v>34</v>
      </c>
      <c r="E29">
        <f>E28-D28</f>
        <v>906</v>
      </c>
      <c r="F29">
        <f t="shared" ref="F29:J29" si="2">F28-E28</f>
        <v>1394</v>
      </c>
      <c r="G29">
        <f t="shared" si="2"/>
        <v>900</v>
      </c>
      <c r="H29">
        <f t="shared" si="2"/>
        <v>800</v>
      </c>
      <c r="I29">
        <f t="shared" si="2"/>
        <v>300</v>
      </c>
      <c r="J29">
        <f t="shared" si="2"/>
        <v>200</v>
      </c>
    </row>
    <row r="31" spans="1:10" x14ac:dyDescent="0.25">
      <c r="A31" t="s">
        <v>35</v>
      </c>
      <c r="E31">
        <f>E23</f>
        <v>2031</v>
      </c>
      <c r="F31">
        <f t="shared" ref="F31:J31" si="3">F23</f>
        <v>2820</v>
      </c>
      <c r="G31">
        <f t="shared" si="3"/>
        <v>5277</v>
      </c>
      <c r="H31">
        <f t="shared" si="3"/>
        <v>6544</v>
      </c>
      <c r="I31">
        <f t="shared" si="3"/>
        <v>7282</v>
      </c>
      <c r="J31">
        <f t="shared" si="3"/>
        <v>8193</v>
      </c>
    </row>
    <row r="32" spans="1:10" x14ac:dyDescent="0.25">
      <c r="A32" s="10" t="s">
        <v>36</v>
      </c>
      <c r="E32">
        <f>E31-D31</f>
        <v>2031</v>
      </c>
      <c r="F32">
        <f t="shared" ref="F32:J32" si="4">F31-E31</f>
        <v>789</v>
      </c>
      <c r="G32">
        <f t="shared" si="4"/>
        <v>2457</v>
      </c>
      <c r="H32">
        <f t="shared" si="4"/>
        <v>1267</v>
      </c>
      <c r="I32">
        <f t="shared" si="4"/>
        <v>738</v>
      </c>
      <c r="J32">
        <f t="shared" si="4"/>
        <v>911</v>
      </c>
    </row>
    <row r="34" spans="1:10" x14ac:dyDescent="0.25">
      <c r="A34" s="10" t="s">
        <v>37</v>
      </c>
      <c r="E34" s="11">
        <f>E12-E29-E32</f>
        <v>-2482</v>
      </c>
      <c r="F34" s="11">
        <f t="shared" ref="F34:J34" si="5">F12-F29-F32</f>
        <v>-1409.5</v>
      </c>
      <c r="G34" s="11">
        <f t="shared" si="5"/>
        <v>3793</v>
      </c>
      <c r="H34" s="11">
        <f t="shared" si="5"/>
        <v>9113</v>
      </c>
      <c r="I34" s="11">
        <f t="shared" si="5"/>
        <v>10792</v>
      </c>
      <c r="J34" s="11">
        <f t="shared" si="5"/>
        <v>12344</v>
      </c>
    </row>
    <row r="35" spans="1:10" x14ac:dyDescent="0.25">
      <c r="A35" s="10" t="s">
        <v>38</v>
      </c>
      <c r="E35" s="19">
        <f>'Beta Calc'!C8</f>
        <v>0.15834530430709132</v>
      </c>
    </row>
    <row r="37" spans="1:10" x14ac:dyDescent="0.25">
      <c r="A37" s="10" t="s">
        <v>49</v>
      </c>
      <c r="C37" s="22" t="s">
        <v>50</v>
      </c>
      <c r="J37">
        <f>J34*(1+0.05)/(E35-0.05)</f>
        <v>119628.62703549283</v>
      </c>
    </row>
    <row r="38" spans="1:10" x14ac:dyDescent="0.25">
      <c r="C38" s="22" t="s">
        <v>51</v>
      </c>
      <c r="J38">
        <f>J34*(1+0.02)/(E35-0.02)</f>
        <v>91010.533845452796</v>
      </c>
    </row>
    <row r="40" spans="1:10" x14ac:dyDescent="0.25">
      <c r="A40" t="s">
        <v>52</v>
      </c>
      <c r="C40" s="22" t="s">
        <v>50</v>
      </c>
      <c r="E40" s="11">
        <f>SUM(E$34,E37)</f>
        <v>-2482</v>
      </c>
      <c r="F40" s="11">
        <f t="shared" ref="F40:J41" si="6">SUM(F$34,F37)</f>
        <v>-1409.5</v>
      </c>
      <c r="G40" s="11">
        <f t="shared" si="6"/>
        <v>3793</v>
      </c>
      <c r="H40" s="11">
        <f t="shared" si="6"/>
        <v>9113</v>
      </c>
      <c r="I40" s="11">
        <f t="shared" si="6"/>
        <v>10792</v>
      </c>
      <c r="J40" s="11">
        <f t="shared" si="6"/>
        <v>131972.62703549283</v>
      </c>
    </row>
    <row r="41" spans="1:10" x14ac:dyDescent="0.25">
      <c r="C41" s="22" t="s">
        <v>51</v>
      </c>
      <c r="E41" s="11">
        <f>SUM(E$34,E38)</f>
        <v>-2482</v>
      </c>
      <c r="F41" s="11">
        <f t="shared" si="6"/>
        <v>-1409.5</v>
      </c>
      <c r="G41" s="11">
        <f t="shared" si="6"/>
        <v>3793</v>
      </c>
      <c r="H41" s="11">
        <f t="shared" si="6"/>
        <v>9113</v>
      </c>
      <c r="I41" s="11">
        <f t="shared" si="6"/>
        <v>10792</v>
      </c>
      <c r="J41" s="11">
        <f>SUM(J$34,J38)</f>
        <v>103354.5338454528</v>
      </c>
    </row>
    <row r="43" spans="1:10" x14ac:dyDescent="0.25">
      <c r="A43" t="s">
        <v>53</v>
      </c>
      <c r="C43" s="22" t="s">
        <v>50</v>
      </c>
      <c r="E43" s="12">
        <f>NPV(E35,E40:J40)</f>
        <v>64117.184359705738</v>
      </c>
    </row>
    <row r="44" spans="1:10" x14ac:dyDescent="0.25">
      <c r="C44" s="22" t="s">
        <v>51</v>
      </c>
      <c r="E44" s="12">
        <f>NPV(E35,E41:J41)</f>
        <v>52270.073872207424</v>
      </c>
    </row>
    <row r="46" spans="1:10" x14ac:dyDescent="0.25">
      <c r="A46" t="s">
        <v>53</v>
      </c>
      <c r="B46" s="23" t="s">
        <v>68</v>
      </c>
      <c r="C46" s="22" t="s">
        <v>50</v>
      </c>
      <c r="E46" s="12">
        <f>NPV(E38,E43:J43)+'Tax Sheild'!D21</f>
        <v>65299.90162357119</v>
      </c>
    </row>
    <row r="47" spans="1:10" x14ac:dyDescent="0.25">
      <c r="B47" s="23"/>
      <c r="C47" s="22" t="s">
        <v>51</v>
      </c>
      <c r="E47" s="12">
        <f>NPV(E38,E44:J44)+'Tax Sheild'!D21</f>
        <v>53452.791136072876</v>
      </c>
    </row>
    <row r="50" spans="1:6" x14ac:dyDescent="0.25">
      <c r="E50" s="22" t="s">
        <v>50</v>
      </c>
      <c r="F50" s="22" t="s">
        <v>51</v>
      </c>
    </row>
    <row r="51" spans="1:6" x14ac:dyDescent="0.25">
      <c r="A51" t="s">
        <v>74</v>
      </c>
      <c r="B51" t="s">
        <v>75</v>
      </c>
      <c r="C51" s="18">
        <v>0.3</v>
      </c>
      <c r="E51" s="12">
        <f>C51*E$43</f>
        <v>19235.155307911722</v>
      </c>
      <c r="F51" s="12">
        <f>C51*E$44</f>
        <v>15681.022161662226</v>
      </c>
    </row>
    <row r="52" spans="1:6" x14ac:dyDescent="0.25">
      <c r="B52" t="s">
        <v>76</v>
      </c>
      <c r="C52" s="18">
        <v>0.3</v>
      </c>
      <c r="E52" s="12">
        <f>C52*E$43/2</f>
        <v>9617.577653955861</v>
      </c>
      <c r="F52" s="12">
        <f>C52*E$44/2</f>
        <v>7840.5110808311128</v>
      </c>
    </row>
    <row r="53" spans="1:6" x14ac:dyDescent="0.25">
      <c r="B53" t="s">
        <v>77</v>
      </c>
      <c r="C53" s="18">
        <v>0.4</v>
      </c>
      <c r="E53" s="12">
        <v>0</v>
      </c>
      <c r="F53" s="12">
        <v>0</v>
      </c>
    </row>
    <row r="55" spans="1:6" x14ac:dyDescent="0.25">
      <c r="E55" s="12">
        <f>SUM(E51:E53)</f>
        <v>28852.732961867583</v>
      </c>
      <c r="F55" s="12">
        <f>SUM(F51:F53)</f>
        <v>23521.533242493337</v>
      </c>
    </row>
  </sheetData>
  <mergeCells count="1">
    <mergeCell ref="B46:B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D12" sqref="D12"/>
    </sheetView>
  </sheetViews>
  <sheetFormatPr defaultRowHeight="15" x14ac:dyDescent="0.25"/>
  <sheetData>
    <row r="3" spans="1:3" x14ac:dyDescent="0.25">
      <c r="A3" t="s">
        <v>69</v>
      </c>
      <c r="C3" s="11">
        <f>Sheet1!J12</f>
        <v>13455</v>
      </c>
    </row>
    <row r="4" spans="1:3" x14ac:dyDescent="0.25">
      <c r="A4" t="s">
        <v>70</v>
      </c>
      <c r="C4" s="15">
        <f>'Beta Calc'!C12</f>
        <v>24.247499999999999</v>
      </c>
    </row>
    <row r="5" spans="1:3" x14ac:dyDescent="0.25">
      <c r="A5" t="s">
        <v>73</v>
      </c>
      <c r="C5" s="18">
        <v>0.6</v>
      </c>
    </row>
    <row r="6" spans="1:3" x14ac:dyDescent="0.25">
      <c r="A6" t="s">
        <v>71</v>
      </c>
      <c r="C6">
        <f>C4*C3</f>
        <v>326250.11249999999</v>
      </c>
    </row>
    <row r="7" spans="1:3" x14ac:dyDescent="0.25">
      <c r="A7" t="s">
        <v>72</v>
      </c>
      <c r="C7">
        <f>C6/((C5+1)^6)</f>
        <v>19446.022063493718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3" workbookViewId="0">
      <selection activeCell="D21" sqref="D21"/>
    </sheetView>
  </sheetViews>
  <sheetFormatPr defaultRowHeight="15" x14ac:dyDescent="0.25"/>
  <cols>
    <col min="2" max="2" width="14" bestFit="1" customWidth="1"/>
    <col min="3" max="5" width="14" customWidth="1"/>
  </cols>
  <sheetData>
    <row r="1" spans="1:9" x14ac:dyDescent="0.25"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</row>
    <row r="2" spans="1:9" x14ac:dyDescent="0.25">
      <c r="A2" s="10" t="s">
        <v>54</v>
      </c>
    </row>
    <row r="3" spans="1:9" x14ac:dyDescent="0.25">
      <c r="A3" s="10" t="s">
        <v>29</v>
      </c>
      <c r="G3">
        <v>4825</v>
      </c>
      <c r="H3">
        <v>13939</v>
      </c>
    </row>
    <row r="4" spans="1:9" x14ac:dyDescent="0.25">
      <c r="A4" s="10" t="s">
        <v>55</v>
      </c>
    </row>
    <row r="5" spans="1:9" x14ac:dyDescent="0.25">
      <c r="A5" s="10" t="s">
        <v>56</v>
      </c>
    </row>
    <row r="6" spans="1:9" x14ac:dyDescent="0.25">
      <c r="A6" s="10"/>
    </row>
    <row r="7" spans="1:9" x14ac:dyDescent="0.25">
      <c r="A7" s="10" t="s">
        <v>57</v>
      </c>
      <c r="F7">
        <v>4869</v>
      </c>
      <c r="G7">
        <v>6302</v>
      </c>
      <c r="H7">
        <v>7064</v>
      </c>
      <c r="I7">
        <v>8369</v>
      </c>
    </row>
    <row r="8" spans="1:9" x14ac:dyDescent="0.25">
      <c r="A8" s="10" t="s">
        <v>20</v>
      </c>
      <c r="B8" s="22" t="s">
        <v>59</v>
      </c>
      <c r="C8" s="22"/>
      <c r="D8" s="22"/>
      <c r="E8" s="22"/>
      <c r="F8">
        <v>0</v>
      </c>
      <c r="G8">
        <v>2000</v>
      </c>
      <c r="H8">
        <v>5000</v>
      </c>
      <c r="I8">
        <v>10000</v>
      </c>
    </row>
    <row r="9" spans="1:9" x14ac:dyDescent="0.25">
      <c r="A9" s="10" t="s">
        <v>58</v>
      </c>
      <c r="F9">
        <v>12270</v>
      </c>
      <c r="G9">
        <v>23450</v>
      </c>
      <c r="H9">
        <v>35280</v>
      </c>
      <c r="I9">
        <v>48735</v>
      </c>
    </row>
    <row r="14" spans="1:9" x14ac:dyDescent="0.25">
      <c r="A14" t="s">
        <v>60</v>
      </c>
    </row>
    <row r="15" spans="1:9" x14ac:dyDescent="0.25">
      <c r="A15" t="s">
        <v>61</v>
      </c>
      <c r="D15">
        <v>0</v>
      </c>
      <c r="E15">
        <v>0</v>
      </c>
      <c r="F15">
        <v>0</v>
      </c>
      <c r="G15">
        <v>2000</v>
      </c>
      <c r="H15">
        <v>5000</v>
      </c>
      <c r="I15">
        <v>10000</v>
      </c>
    </row>
    <row r="16" spans="1:9" x14ac:dyDescent="0.25">
      <c r="A16" t="s">
        <v>62</v>
      </c>
      <c r="B16" s="18">
        <v>0.1</v>
      </c>
      <c r="C16" s="18"/>
      <c r="D16" s="18"/>
      <c r="E16" s="18"/>
    </row>
    <row r="17" spans="1:9" x14ac:dyDescent="0.25">
      <c r="A17" t="s">
        <v>63</v>
      </c>
      <c r="G17">
        <f>G15*B16</f>
        <v>200</v>
      </c>
      <c r="H17">
        <f>H15*B16</f>
        <v>500</v>
      </c>
      <c r="I17">
        <f>I15*B16</f>
        <v>1000</v>
      </c>
    </row>
    <row r="18" spans="1:9" x14ac:dyDescent="0.25">
      <c r="A18" t="s">
        <v>64</v>
      </c>
      <c r="G18">
        <f>G17*0.35</f>
        <v>70</v>
      </c>
      <c r="H18">
        <f t="shared" ref="H18:I18" si="0">H17*0.35</f>
        <v>175</v>
      </c>
      <c r="I18">
        <f t="shared" si="0"/>
        <v>350</v>
      </c>
    </row>
    <row r="19" spans="1:9" x14ac:dyDescent="0.25">
      <c r="A19" t="s">
        <v>65</v>
      </c>
      <c r="I19">
        <f>I18/Sheet1!E35</f>
        <v>2210.3591990402056</v>
      </c>
    </row>
    <row r="20" spans="1:9" x14ac:dyDescent="0.25">
      <c r="A20" t="s">
        <v>66</v>
      </c>
      <c r="D20">
        <f>D18+D19</f>
        <v>0</v>
      </c>
      <c r="E20">
        <f t="shared" ref="E20:I20" si="1">E18+E19</f>
        <v>0</v>
      </c>
      <c r="F20">
        <f t="shared" si="1"/>
        <v>0</v>
      </c>
      <c r="G20">
        <f t="shared" si="1"/>
        <v>70</v>
      </c>
      <c r="H20">
        <f t="shared" si="1"/>
        <v>175</v>
      </c>
      <c r="I20">
        <f t="shared" si="1"/>
        <v>2560.3591990402056</v>
      </c>
    </row>
    <row r="21" spans="1:9" x14ac:dyDescent="0.25">
      <c r="A21" t="s">
        <v>67</v>
      </c>
      <c r="D21" s="12">
        <f>NPV('Beta Calc'!C8,D20:I20)</f>
        <v>1182.7172638654492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F1" sqref="F1"/>
    </sheetView>
  </sheetViews>
  <sheetFormatPr defaultRowHeight="15" x14ac:dyDescent="0.25"/>
  <cols>
    <col min="1" max="1" width="15.42578125" customWidth="1"/>
    <col min="5" max="5" width="17.5703125" bestFit="1" customWidth="1"/>
    <col min="6" max="6" width="5" customWidth="1"/>
    <col min="7" max="7" width="16.85546875" customWidth="1"/>
    <col min="8" max="8" width="10.28515625" customWidth="1"/>
    <col min="9" max="9" width="10.85546875" customWidth="1"/>
    <col min="10" max="10" width="10.7109375" customWidth="1"/>
    <col min="11" max="11" width="10.42578125" customWidth="1"/>
  </cols>
  <sheetData>
    <row r="1" spans="1:11" ht="15.75" x14ac:dyDescent="0.25">
      <c r="A1" s="8" t="s">
        <v>11</v>
      </c>
      <c r="B1" s="5"/>
      <c r="C1" s="5"/>
      <c r="D1" s="5"/>
      <c r="E1" s="5"/>
      <c r="F1" s="5"/>
      <c r="G1" s="8" t="s">
        <v>12</v>
      </c>
      <c r="H1" s="5"/>
      <c r="I1" s="5"/>
      <c r="J1" s="5"/>
      <c r="K1" s="5"/>
    </row>
    <row r="2" spans="1:11" x14ac:dyDescent="0.25">
      <c r="A2" s="6" t="s">
        <v>13</v>
      </c>
      <c r="B2" s="7">
        <v>79.34</v>
      </c>
      <c r="C2" s="7">
        <v>74.790000000000006</v>
      </c>
      <c r="D2" s="7">
        <v>59.39</v>
      </c>
      <c r="E2" s="7">
        <v>54.86</v>
      </c>
      <c r="F2" s="7"/>
      <c r="G2" s="6" t="s">
        <v>13</v>
      </c>
      <c r="H2" s="7">
        <v>154.13</v>
      </c>
      <c r="I2" s="7">
        <v>188.37</v>
      </c>
      <c r="J2" s="7">
        <v>234.68</v>
      </c>
      <c r="K2" s="7">
        <v>312.29000000000002</v>
      </c>
    </row>
    <row r="3" spans="1:11" x14ac:dyDescent="0.25">
      <c r="A3" s="6" t="s">
        <v>6</v>
      </c>
      <c r="B3" s="7">
        <v>18.579999999999998</v>
      </c>
      <c r="C3" s="7">
        <v>17.670000000000002</v>
      </c>
      <c r="D3" s="7">
        <v>14.59</v>
      </c>
      <c r="E3" s="7">
        <v>13.97</v>
      </c>
      <c r="F3" s="7"/>
      <c r="G3" s="6" t="s">
        <v>6</v>
      </c>
      <c r="H3" s="7">
        <v>19.28</v>
      </c>
      <c r="I3" s="7">
        <v>20.92</v>
      </c>
      <c r="J3" s="7">
        <v>23.62</v>
      </c>
      <c r="K3" s="7">
        <v>33.44</v>
      </c>
    </row>
    <row r="4" spans="1:11" x14ac:dyDescent="0.25">
      <c r="A4" s="6" t="s">
        <v>14</v>
      </c>
      <c r="B4" s="7">
        <v>1.95</v>
      </c>
      <c r="C4" s="7">
        <v>0.37</v>
      </c>
      <c r="D4" s="7">
        <v>0.63</v>
      </c>
      <c r="E4" s="7">
        <v>0.34</v>
      </c>
      <c r="F4" s="7"/>
      <c r="G4" s="6" t="s">
        <v>14</v>
      </c>
      <c r="H4" s="7">
        <v>176.73</v>
      </c>
      <c r="I4" s="7">
        <v>117.63</v>
      </c>
      <c r="J4" s="7">
        <v>76.39</v>
      </c>
      <c r="K4" s="7">
        <v>21.81</v>
      </c>
    </row>
    <row r="5" spans="1:11" ht="30" x14ac:dyDescent="0.25">
      <c r="A5" s="6" t="s">
        <v>15</v>
      </c>
      <c r="B5" s="7">
        <v>7.3</v>
      </c>
      <c r="C5" s="7">
        <v>6.44</v>
      </c>
      <c r="D5" s="7">
        <v>2.38</v>
      </c>
      <c r="E5" s="7">
        <v>2.76</v>
      </c>
      <c r="F5" s="7"/>
      <c r="G5" s="6" t="s">
        <v>15</v>
      </c>
      <c r="H5" s="7">
        <v>18.850000000000001</v>
      </c>
      <c r="I5" s="7">
        <v>26.24</v>
      </c>
      <c r="J5" s="7">
        <v>43.22</v>
      </c>
      <c r="K5" s="7">
        <v>58.67</v>
      </c>
    </row>
    <row r="6" spans="1:11" x14ac:dyDescent="0.25">
      <c r="A6" s="6" t="s">
        <v>16</v>
      </c>
      <c r="B6" s="7">
        <v>-1.05</v>
      </c>
      <c r="C6" s="7">
        <v>1.54</v>
      </c>
      <c r="D6" s="7">
        <v>4.54</v>
      </c>
      <c r="E6" s="7">
        <v>5.27</v>
      </c>
      <c r="F6" s="7"/>
      <c r="G6" s="6" t="s">
        <v>16</v>
      </c>
      <c r="H6" s="7">
        <v>-13.7</v>
      </c>
      <c r="I6" s="7">
        <v>3.21</v>
      </c>
      <c r="J6" s="7">
        <v>16.09</v>
      </c>
      <c r="K6" s="7">
        <v>21.75</v>
      </c>
    </row>
    <row r="7" spans="1:11" x14ac:dyDescent="0.25">
      <c r="A7" s="6" t="s">
        <v>17</v>
      </c>
      <c r="B7" s="7">
        <v>77.900000000000006</v>
      </c>
      <c r="C7" s="7">
        <v>72.37</v>
      </c>
      <c r="D7" s="7">
        <v>62.99</v>
      </c>
      <c r="E7" s="7">
        <v>54.95</v>
      </c>
      <c r="F7" s="7"/>
      <c r="G7" s="6" t="s">
        <v>17</v>
      </c>
      <c r="H7" s="7">
        <v>152.21</v>
      </c>
      <c r="I7" s="7">
        <v>149.97999999999999</v>
      </c>
      <c r="J7" s="7">
        <v>213.65</v>
      </c>
      <c r="K7" s="7">
        <v>298.32</v>
      </c>
    </row>
    <row r="8" spans="1:11" ht="30" x14ac:dyDescent="0.25">
      <c r="A8" s="6" t="s">
        <v>18</v>
      </c>
      <c r="B8" s="7">
        <v>51.47</v>
      </c>
      <c r="C8" s="7">
        <v>45.86</v>
      </c>
      <c r="D8" s="7">
        <v>38.69</v>
      </c>
      <c r="E8" s="7">
        <v>34.01</v>
      </c>
      <c r="F8" s="7"/>
      <c r="G8" s="6" t="s">
        <v>18</v>
      </c>
      <c r="H8" s="7">
        <v>57.69</v>
      </c>
      <c r="I8" s="7">
        <v>70.22</v>
      </c>
      <c r="J8" s="7">
        <v>118.54</v>
      </c>
      <c r="K8" s="7">
        <v>159.93</v>
      </c>
    </row>
    <row r="9" spans="1:11" ht="30" x14ac:dyDescent="0.25">
      <c r="A9" s="6" t="s">
        <v>19</v>
      </c>
      <c r="B9" s="7">
        <v>15.73</v>
      </c>
      <c r="C9" s="7">
        <v>14.7</v>
      </c>
      <c r="D9" s="7">
        <v>18.760000000000002</v>
      </c>
      <c r="E9" s="7">
        <v>42.54</v>
      </c>
      <c r="F9" s="7"/>
      <c r="G9" s="6" t="s">
        <v>19</v>
      </c>
      <c r="H9" s="7">
        <v>53.58</v>
      </c>
      <c r="I9" s="7">
        <v>43.84</v>
      </c>
      <c r="J9" s="7">
        <v>59.42</v>
      </c>
      <c r="K9" s="7">
        <v>60.56</v>
      </c>
    </row>
    <row r="10" spans="1:11" x14ac:dyDescent="0.25">
      <c r="A10" s="6" t="s">
        <v>20</v>
      </c>
      <c r="B10" s="7">
        <v>4.88</v>
      </c>
      <c r="C10" s="7">
        <v>5.15</v>
      </c>
      <c r="D10" s="7">
        <v>6.28</v>
      </c>
      <c r="E10" s="7">
        <v>7.18</v>
      </c>
      <c r="F10" s="7"/>
      <c r="G10" s="6" t="s">
        <v>20</v>
      </c>
      <c r="H10" s="7">
        <v>2.66</v>
      </c>
      <c r="I10" s="7">
        <v>6.01</v>
      </c>
      <c r="J10" s="7">
        <v>7.18</v>
      </c>
      <c r="K10" s="7">
        <v>6.8</v>
      </c>
    </row>
    <row r="11" spans="1:11" x14ac:dyDescent="0.25">
      <c r="A11" s="6" t="s">
        <v>21</v>
      </c>
      <c r="B11" s="7">
        <v>15.73</v>
      </c>
      <c r="C11" s="7">
        <v>13.82</v>
      </c>
      <c r="D11" s="7">
        <v>18.03</v>
      </c>
      <c r="E11" s="7">
        <v>12.1</v>
      </c>
      <c r="F11" s="7"/>
      <c r="G11" s="6" t="s">
        <v>21</v>
      </c>
      <c r="H11" s="7">
        <v>57.32</v>
      </c>
      <c r="I11" s="7">
        <v>67.36</v>
      </c>
      <c r="J11" s="7">
        <v>132.19999999999999</v>
      </c>
      <c r="K11" s="7">
        <v>211.19</v>
      </c>
    </row>
    <row r="12" spans="1:11" x14ac:dyDescent="0.25">
      <c r="A12" s="6" t="s">
        <v>22</v>
      </c>
      <c r="B12" s="6" t="s">
        <v>23</v>
      </c>
      <c r="C12" s="6" t="s">
        <v>23</v>
      </c>
      <c r="D12" s="6" t="s">
        <v>23</v>
      </c>
      <c r="E12" s="6">
        <v>1.45</v>
      </c>
      <c r="F12" s="6"/>
      <c r="G12" s="6" t="s">
        <v>22</v>
      </c>
      <c r="H12" s="6" t="s">
        <v>23</v>
      </c>
      <c r="I12" s="6" t="s">
        <v>23</v>
      </c>
      <c r="J12" s="6" t="s">
        <v>23</v>
      </c>
      <c r="K12" s="6">
        <v>1.33</v>
      </c>
    </row>
    <row r="13" spans="1:11" x14ac:dyDescent="0.25">
      <c r="A13" s="6" t="s">
        <v>24</v>
      </c>
      <c r="B13" s="6" t="s">
        <v>23</v>
      </c>
      <c r="C13" s="6">
        <v>21.23</v>
      </c>
      <c r="D13" s="6">
        <v>18.63</v>
      </c>
      <c r="E13" s="6">
        <v>19.510000000000002</v>
      </c>
      <c r="F13" s="6"/>
      <c r="G13" s="6" t="s">
        <v>24</v>
      </c>
      <c r="H13" s="6" t="s">
        <v>23</v>
      </c>
      <c r="I13" s="6">
        <v>40</v>
      </c>
      <c r="J13" s="6">
        <v>41.05</v>
      </c>
      <c r="K13" s="6">
        <v>39.869999999999997</v>
      </c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 t="s">
        <v>39</v>
      </c>
      <c r="B15" s="6"/>
      <c r="C15" s="6"/>
      <c r="D15" s="6"/>
      <c r="E15" s="14">
        <f>E13*E6</f>
        <v>102.8177</v>
      </c>
      <c r="F15" s="6"/>
      <c r="G15" s="6" t="s">
        <v>39</v>
      </c>
      <c r="H15" s="6"/>
      <c r="I15" s="6"/>
      <c r="J15" s="6"/>
      <c r="K15" s="14">
        <f>K13*K6</f>
        <v>867.1724999999999</v>
      </c>
    </row>
    <row r="16" spans="1:11" x14ac:dyDescent="0.25">
      <c r="A16" s="6" t="s">
        <v>40</v>
      </c>
      <c r="B16" s="6"/>
      <c r="C16" s="6"/>
      <c r="D16" s="6"/>
      <c r="E16" s="14">
        <f>E10/E15</f>
        <v>6.983233431597867E-2</v>
      </c>
      <c r="F16" s="6"/>
      <c r="G16" s="6" t="s">
        <v>40</v>
      </c>
      <c r="H16" s="6"/>
      <c r="I16" s="6"/>
      <c r="J16" s="6"/>
      <c r="K16" s="14">
        <f>K10/K15</f>
        <v>7.8415770795314671E-3</v>
      </c>
    </row>
    <row r="17" spans="1:11" ht="30" x14ac:dyDescent="0.25">
      <c r="A17" s="13" t="s">
        <v>41</v>
      </c>
      <c r="E17" s="15">
        <f>E12/(1+(1-0.35)*E16)</f>
        <v>1.3870408067380751</v>
      </c>
      <c r="F17" s="6"/>
      <c r="G17" s="13" t="s">
        <v>41</v>
      </c>
      <c r="K17" s="15">
        <f>K12/(1+(1-0.35)*K16)</f>
        <v>1.3232553343448916</v>
      </c>
    </row>
    <row r="18" spans="1:11" x14ac:dyDescent="0.25">
      <c r="A18" s="13" t="s">
        <v>45</v>
      </c>
      <c r="E18" s="15">
        <f>E15/($E$15+$K$15+$E$34+$K$34)</f>
        <v>9.6175493427237357E-2</v>
      </c>
      <c r="F18" s="6"/>
      <c r="G18" s="6"/>
      <c r="H18" s="6"/>
      <c r="I18" s="6"/>
      <c r="J18" s="6"/>
      <c r="K18" s="15">
        <f>K15/($E$15+$K$15+$E$34+$K$34)</f>
        <v>0.81115161177531669</v>
      </c>
    </row>
    <row r="19" spans="1:11" ht="15.7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31.5" x14ac:dyDescent="0.25">
      <c r="A20" s="9" t="s">
        <v>25</v>
      </c>
      <c r="B20" s="5"/>
      <c r="C20" s="5"/>
      <c r="D20" s="5"/>
      <c r="E20" s="5"/>
      <c r="F20" s="5"/>
      <c r="G20" s="9" t="s">
        <v>26</v>
      </c>
      <c r="H20" s="5"/>
      <c r="I20" s="5"/>
      <c r="J20" s="5"/>
      <c r="K20" s="5"/>
    </row>
    <row r="21" spans="1:11" ht="15.75" x14ac:dyDescent="0.25">
      <c r="A21" s="6" t="s">
        <v>13</v>
      </c>
      <c r="B21" s="7">
        <v>17.32</v>
      </c>
      <c r="C21" s="7">
        <v>17.96</v>
      </c>
      <c r="D21" s="7">
        <v>17.100000000000001</v>
      </c>
      <c r="E21" s="7">
        <v>18.899999999999999</v>
      </c>
      <c r="F21" s="5"/>
      <c r="G21" s="6" t="s">
        <v>13</v>
      </c>
      <c r="H21" s="7">
        <v>72.39</v>
      </c>
      <c r="I21" s="7">
        <v>82.57</v>
      </c>
      <c r="J21" s="7">
        <v>80.58</v>
      </c>
      <c r="K21" s="7">
        <v>75.349999999999994</v>
      </c>
    </row>
    <row r="22" spans="1:11" ht="15.75" x14ac:dyDescent="0.25">
      <c r="A22" s="6" t="s">
        <v>6</v>
      </c>
      <c r="B22" s="7">
        <v>2.59</v>
      </c>
      <c r="C22" s="7">
        <v>2.72</v>
      </c>
      <c r="D22" s="7">
        <v>2.35</v>
      </c>
      <c r="E22" s="7">
        <v>2.16</v>
      </c>
      <c r="F22" s="5"/>
      <c r="G22" s="6" t="s">
        <v>6</v>
      </c>
      <c r="H22" s="6" t="s">
        <v>23</v>
      </c>
      <c r="I22" s="6" t="s">
        <v>23</v>
      </c>
      <c r="J22" s="6" t="s">
        <v>23</v>
      </c>
      <c r="K22" s="6" t="s">
        <v>23</v>
      </c>
    </row>
    <row r="23" spans="1:11" ht="15.75" x14ac:dyDescent="0.25">
      <c r="A23" s="6" t="s">
        <v>14</v>
      </c>
      <c r="B23" s="7">
        <v>0.52</v>
      </c>
      <c r="C23" s="7">
        <v>0.4</v>
      </c>
      <c r="D23" s="7">
        <v>0.28000000000000003</v>
      </c>
      <c r="E23" s="7">
        <v>0.28000000000000003</v>
      </c>
      <c r="F23" s="5"/>
      <c r="G23" s="6" t="s">
        <v>14</v>
      </c>
      <c r="H23" s="7">
        <v>5.22</v>
      </c>
      <c r="I23" s="7">
        <v>3.45</v>
      </c>
      <c r="J23" s="7">
        <v>3.05</v>
      </c>
      <c r="K23" s="7">
        <v>3.33</v>
      </c>
    </row>
    <row r="24" spans="1:11" ht="30" x14ac:dyDescent="0.25">
      <c r="A24" s="6" t="s">
        <v>15</v>
      </c>
      <c r="B24" s="7">
        <v>0.19</v>
      </c>
      <c r="C24" s="7">
        <v>0.18</v>
      </c>
      <c r="D24" s="7">
        <v>0.73</v>
      </c>
      <c r="E24" s="7">
        <v>1.81</v>
      </c>
      <c r="F24" s="5"/>
      <c r="G24" s="6" t="s">
        <v>15</v>
      </c>
      <c r="H24" s="7">
        <v>6.66</v>
      </c>
      <c r="I24" s="7">
        <v>7.65</v>
      </c>
      <c r="J24" s="7">
        <v>8.17</v>
      </c>
      <c r="K24" s="7">
        <v>4.2699999999999996</v>
      </c>
    </row>
    <row r="25" spans="1:11" ht="15.75" x14ac:dyDescent="0.25">
      <c r="A25" s="6" t="s">
        <v>16</v>
      </c>
      <c r="B25" s="7">
        <v>-0.38</v>
      </c>
      <c r="C25" s="7">
        <v>-0.51</v>
      </c>
      <c r="D25" s="7">
        <v>1.47</v>
      </c>
      <c r="E25" s="7">
        <v>3.84</v>
      </c>
      <c r="F25" s="5"/>
      <c r="G25" s="6" t="s">
        <v>16</v>
      </c>
      <c r="H25" s="7">
        <v>2.96</v>
      </c>
      <c r="I25" s="7">
        <v>3.2</v>
      </c>
      <c r="J25" s="7">
        <v>3.8</v>
      </c>
      <c r="K25" s="7">
        <v>1.5</v>
      </c>
    </row>
    <row r="26" spans="1:11" ht="15.75" x14ac:dyDescent="0.25">
      <c r="A26" s="6" t="s">
        <v>17</v>
      </c>
      <c r="B26" s="7">
        <v>7.62</v>
      </c>
      <c r="C26" s="7">
        <v>7.31</v>
      </c>
      <c r="D26" s="7">
        <v>7.11</v>
      </c>
      <c r="E26" s="7">
        <v>7.33</v>
      </c>
      <c r="F26" s="5"/>
      <c r="G26" s="6" t="s">
        <v>17</v>
      </c>
      <c r="H26" s="7">
        <v>40.659999999999997</v>
      </c>
      <c r="I26" s="7">
        <v>45.91</v>
      </c>
      <c r="J26" s="7">
        <v>49.98</v>
      </c>
      <c r="K26" s="7">
        <v>46.85</v>
      </c>
    </row>
    <row r="27" spans="1:11" ht="30" x14ac:dyDescent="0.25">
      <c r="A27" s="6" t="s">
        <v>18</v>
      </c>
      <c r="B27" s="7">
        <v>3.89</v>
      </c>
      <c r="C27" s="7">
        <v>3.98</v>
      </c>
      <c r="D27" s="7">
        <v>4.2300000000000004</v>
      </c>
      <c r="E27" s="7">
        <v>4.79</v>
      </c>
      <c r="F27" s="5"/>
      <c r="G27" s="6" t="s">
        <v>18</v>
      </c>
      <c r="H27" s="7">
        <v>22.54</v>
      </c>
      <c r="I27" s="7">
        <v>28.5</v>
      </c>
      <c r="J27" s="7">
        <v>27.59</v>
      </c>
      <c r="K27" s="7">
        <v>22.08</v>
      </c>
    </row>
    <row r="28" spans="1:11" ht="30" x14ac:dyDescent="0.25">
      <c r="A28" s="6" t="s">
        <v>19</v>
      </c>
      <c r="B28" s="7">
        <v>1.83</v>
      </c>
      <c r="C28" s="7">
        <v>2.23</v>
      </c>
      <c r="D28" s="7">
        <v>3.13</v>
      </c>
      <c r="E28" s="7">
        <v>2.95</v>
      </c>
      <c r="F28" s="5"/>
      <c r="G28" s="6" t="s">
        <v>19</v>
      </c>
      <c r="H28" s="7">
        <v>5.46</v>
      </c>
      <c r="I28" s="7">
        <v>8.92</v>
      </c>
      <c r="J28" s="7">
        <v>10.63</v>
      </c>
      <c r="K28" s="7">
        <v>6.41</v>
      </c>
    </row>
    <row r="29" spans="1:11" ht="15.75" x14ac:dyDescent="0.25">
      <c r="A29" s="6" t="s">
        <v>20</v>
      </c>
      <c r="B29" s="7">
        <v>0.62</v>
      </c>
      <c r="C29" s="7">
        <v>0.66</v>
      </c>
      <c r="D29" s="7">
        <v>0.67</v>
      </c>
      <c r="E29" s="7">
        <v>0.71</v>
      </c>
      <c r="F29" s="5"/>
      <c r="G29" s="6" t="s">
        <v>20</v>
      </c>
      <c r="H29" s="7">
        <v>0.9</v>
      </c>
      <c r="I29" s="7">
        <v>0.71</v>
      </c>
      <c r="J29" s="7">
        <v>0.37</v>
      </c>
      <c r="K29" s="7">
        <v>0.17</v>
      </c>
    </row>
    <row r="30" spans="1:11" ht="15.75" x14ac:dyDescent="0.25">
      <c r="A30" s="6" t="s">
        <v>21</v>
      </c>
      <c r="B30" s="7">
        <v>2.98</v>
      </c>
      <c r="C30" s="7">
        <v>2.34</v>
      </c>
      <c r="D30" s="7">
        <v>2.64</v>
      </c>
      <c r="E30" s="7">
        <v>3.41</v>
      </c>
      <c r="F30" s="5"/>
      <c r="G30" s="6" t="s">
        <v>21</v>
      </c>
      <c r="H30" s="7">
        <v>32.82</v>
      </c>
      <c r="I30" s="7">
        <v>34.53</v>
      </c>
      <c r="J30" s="7">
        <v>36.5</v>
      </c>
      <c r="K30" s="7">
        <v>37.56</v>
      </c>
    </row>
    <row r="31" spans="1:11" ht="15.75" x14ac:dyDescent="0.25">
      <c r="A31" s="6" t="s">
        <v>22</v>
      </c>
      <c r="B31" s="6" t="s">
        <v>23</v>
      </c>
      <c r="C31" s="6" t="s">
        <v>23</v>
      </c>
      <c r="D31" s="6" t="s">
        <v>23</v>
      </c>
      <c r="E31" s="6">
        <v>1.1200000000000001</v>
      </c>
      <c r="F31" s="5"/>
      <c r="G31" s="6" t="s">
        <v>22</v>
      </c>
      <c r="H31" s="6" t="s">
        <v>23</v>
      </c>
      <c r="I31" s="6" t="s">
        <v>23</v>
      </c>
      <c r="J31" s="6" t="s">
        <v>23</v>
      </c>
      <c r="K31" s="6">
        <v>1.23</v>
      </c>
    </row>
    <row r="32" spans="1:11" ht="15.75" x14ac:dyDescent="0.25">
      <c r="A32" s="6" t="s">
        <v>24</v>
      </c>
      <c r="B32" s="6" t="s">
        <v>23</v>
      </c>
      <c r="C32" s="6" t="s">
        <v>23</v>
      </c>
      <c r="D32" s="6">
        <v>20.3</v>
      </c>
      <c r="E32" s="6">
        <v>18.23</v>
      </c>
      <c r="F32" s="5"/>
      <c r="G32" s="6" t="s">
        <v>24</v>
      </c>
      <c r="H32" s="6">
        <v>11.81</v>
      </c>
      <c r="I32" s="6">
        <v>18.98</v>
      </c>
      <c r="J32" s="6">
        <v>23.21</v>
      </c>
      <c r="K32" s="6">
        <v>19.38</v>
      </c>
    </row>
    <row r="34" spans="1:11" x14ac:dyDescent="0.25">
      <c r="A34" s="6" t="s">
        <v>39</v>
      </c>
      <c r="B34" s="6"/>
      <c r="C34" s="6"/>
      <c r="D34" s="6"/>
      <c r="E34" s="14">
        <f>E32*E25</f>
        <v>70.003199999999993</v>
      </c>
      <c r="G34" s="6" t="s">
        <v>39</v>
      </c>
      <c r="H34" s="6"/>
      <c r="I34" s="6"/>
      <c r="J34" s="6"/>
      <c r="K34" s="14">
        <f>K32*K25</f>
        <v>29.07</v>
      </c>
    </row>
    <row r="35" spans="1:11" x14ac:dyDescent="0.25">
      <c r="A35" s="6" t="s">
        <v>40</v>
      </c>
      <c r="B35" s="6"/>
      <c r="C35" s="6"/>
      <c r="D35" s="6"/>
      <c r="E35" s="14">
        <f>E29/E34</f>
        <v>1.0142393490583289E-2</v>
      </c>
      <c r="G35" s="6" t="s">
        <v>40</v>
      </c>
      <c r="H35" s="6"/>
      <c r="I35" s="6"/>
      <c r="J35" s="6"/>
      <c r="K35" s="14">
        <f>K29/K34</f>
        <v>5.8479532163742695E-3</v>
      </c>
    </row>
    <row r="36" spans="1:11" ht="30" x14ac:dyDescent="0.25">
      <c r="A36" s="13" t="s">
        <v>41</v>
      </c>
      <c r="E36" s="15">
        <f>E31/(1+(1-0.35)*E35)</f>
        <v>1.1126646959399531</v>
      </c>
      <c r="G36" s="13" t="s">
        <v>41</v>
      </c>
      <c r="K36" s="15">
        <f>K31/(1+(1-0.35)*K35)</f>
        <v>1.2253422662394406</v>
      </c>
    </row>
    <row r="37" spans="1:11" x14ac:dyDescent="0.25">
      <c r="E37" s="15">
        <f>E34/($E$15+$K$15+$E$34+$K$34)</f>
        <v>6.5480868580853113E-2</v>
      </c>
      <c r="K37" s="15">
        <f>K34/($E$15+$K$15+$E$34+$K$34)</f>
        <v>2.719202621659296E-2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2"/>
  <sheetViews>
    <sheetView workbookViewId="0">
      <selection activeCell="A13" sqref="A13"/>
    </sheetView>
  </sheetViews>
  <sheetFormatPr defaultRowHeight="15" x14ac:dyDescent="0.25"/>
  <cols>
    <col min="3" max="3" width="12" bestFit="1" customWidth="1"/>
  </cols>
  <sheetData>
    <row r="2" spans="1:4" ht="15.75" x14ac:dyDescent="0.25">
      <c r="A2" s="16" t="s">
        <v>42</v>
      </c>
      <c r="B2" s="16" t="s">
        <v>43</v>
      </c>
      <c r="C2" s="17">
        <f>AVERAGE('Multiple Valuation'!E17,'Multiple Valuation'!K17,'Multiple Valuation'!E36,'Multiple Valuation'!K36)</f>
        <v>1.2620757758155901</v>
      </c>
      <c r="D2" s="15">
        <f>AVERAGE('Multiple Valuation'!E17,'Multiple Valuation'!E36,'Multiple Valuation'!K36)</f>
        <v>1.2416825896391563</v>
      </c>
    </row>
    <row r="3" spans="1:4" ht="15.75" x14ac:dyDescent="0.25">
      <c r="B3" s="16" t="s">
        <v>44</v>
      </c>
      <c r="C3" s="21">
        <f>'Multiple Valuation'!E36*'Multiple Valuation'!E37+'Multiple Valuation'!K36*'Multiple Valuation'!K37+'Multiple Valuation'!E17*'Multiple Valuation'!E18+'Multiple Valuation'!K17*'Multiple Valuation'!K18</f>
        <v>1.3129378209931735</v>
      </c>
    </row>
    <row r="5" spans="1:4" x14ac:dyDescent="0.25">
      <c r="A5" t="s">
        <v>48</v>
      </c>
      <c r="C5" s="18">
        <v>7.0000000000000007E-2</v>
      </c>
    </row>
    <row r="6" spans="1:4" x14ac:dyDescent="0.25">
      <c r="A6" t="s">
        <v>46</v>
      </c>
      <c r="C6" s="18">
        <v>7.0000000000000007E-2</v>
      </c>
    </row>
    <row r="8" spans="1:4" x14ac:dyDescent="0.25">
      <c r="A8" t="s">
        <v>47</v>
      </c>
      <c r="B8" t="s">
        <v>43</v>
      </c>
      <c r="C8" s="20">
        <f>C5+C2*C6</f>
        <v>0.15834530430709132</v>
      </c>
    </row>
    <row r="12" spans="1:4" x14ac:dyDescent="0.25">
      <c r="A12" t="s">
        <v>24</v>
      </c>
      <c r="C12" s="15">
        <f>AVERAGE('Multiple Valuation'!E13,'Multiple Valuation'!K13,'Multiple Valuation'!K32,'Multiple Valuation'!E32)</f>
        <v>24.247499999999999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VCs Valuation</vt:lpstr>
      <vt:lpstr>Tax Sheild</vt:lpstr>
      <vt:lpstr>Multiple Valuation</vt:lpstr>
      <vt:lpstr>Beta 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ANKUR</cp:lastModifiedBy>
  <dcterms:created xsi:type="dcterms:W3CDTF">2012-08-26T08:04:14Z</dcterms:created>
  <dcterms:modified xsi:type="dcterms:W3CDTF">2015-08-23T06:15:43Z</dcterms:modified>
</cp:coreProperties>
</file>