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ttayu\Desktop\Missc Tasks\"/>
    </mc:Choice>
  </mc:AlternateContent>
  <bookViews>
    <workbookView xWindow="0" yWindow="0" windowWidth="15690" windowHeight="4800" firstSheet="6" activeTab="10"/>
  </bookViews>
  <sheets>
    <sheet name="Key Inputs and Assumptions" sheetId="2" r:id="rId1"/>
    <sheet name="Cover" sheetId="13" r:id="rId2"/>
    <sheet name="TOC" sheetId="3" r:id="rId3"/>
    <sheet name="Summary of Values" sheetId="4" r:id="rId4"/>
    <sheet name="WARA" sheetId="11" r:id="rId5"/>
    <sheet name="Historical IS" sheetId="6" r:id="rId6"/>
    <sheet name="Historical BS" sheetId="14" r:id="rId7"/>
    <sheet name="PFI" sheetId="7" r:id="rId8"/>
    <sheet name="IRR" sheetId="8" r:id="rId9"/>
    <sheet name="Trade Name and Trademarks" sheetId="1" r:id="rId10"/>
    <sheet name="Non-Compete Agreement" sheetId="9" r:id="rId11"/>
    <sheet name="Dev. Tech." sheetId="12" r:id="rId12"/>
    <sheet name="WACC" sheetId="10" r:id="rId13"/>
  </sheets>
  <externalReferences>
    <externalReference r:id="rId14"/>
  </externalReferences>
  <definedNames>
    <definedName name="Acq_name">'Key Inputs and Assumptions'!$C$11</definedName>
    <definedName name="LFY">'Key Inputs and Assumptions'!$C$14</definedName>
    <definedName name="LTGR">'Key Inputs and Assumptions'!$C$37</definedName>
    <definedName name="_xlnm.Print_Area" localSheetId="1">Cover!$A$1:$L$24</definedName>
    <definedName name="_xlnm.Print_Area" localSheetId="11">'Dev. Tech.'!$A$1:$N$43</definedName>
    <definedName name="_xlnm.Print_Area" localSheetId="6">'Historical BS'!$A$1:$I$39</definedName>
    <definedName name="_xlnm.Print_Area" localSheetId="5">'Historical IS'!$A$1:$I$37</definedName>
    <definedName name="_xlnm.Print_Area" localSheetId="8">IRR!$A$1:$O$39</definedName>
    <definedName name="_xlnm.Print_Area" localSheetId="10">'Non-Compete Agreement'!$A$1:$P$55</definedName>
    <definedName name="_xlnm.Print_Area" localSheetId="7">PFI!$A$1:$K$38</definedName>
    <definedName name="_xlnm.Print_Area" localSheetId="3">'Summary of Values'!$A$1:$G$26</definedName>
    <definedName name="_xlnm.Print_Area" localSheetId="2">TOC!$A$1:$G$22</definedName>
    <definedName name="_xlnm.Print_Area" localSheetId="9">'Trade Name and Trademarks'!$A$1:$O$28</definedName>
    <definedName name="_xlnm.Print_Area" localSheetId="12">WACC!$A$1:$K$30</definedName>
    <definedName name="_xlnm.Print_Area" localSheetId="4">WARA!$A$1:$H$26</definedName>
    <definedName name="_xlnm.Print_Titles" localSheetId="11">'Dev. Tech.'!$1:$6</definedName>
    <definedName name="_xlnm.Print_Titles" localSheetId="10">'Non-Compete Agreement'!$1:$6</definedName>
    <definedName name="stub">'Key Inputs and Assumptions'!$C$17</definedName>
    <definedName name="Targ_name">'Key Inputs and Assumptions'!$C$12</definedName>
    <definedName name="tax_rate">'Key Inputs and Assumptions'!$C$21</definedName>
    <definedName name="TTM">'Key Inputs and Assumptions'!$C$15</definedName>
    <definedName name="Val_date">'Key Inputs and Assumptions'!$C$13</definedName>
    <definedName name="valuation_date">'[1]General assumptions'!$C$37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 l="1"/>
  <c r="N12" i="9" s="1"/>
  <c r="O12" i="9" s="1"/>
  <c r="L12" i="9"/>
  <c r="H23" i="9"/>
  <c r="H14" i="9"/>
  <c r="O14" i="9" s="1"/>
  <c r="B54" i="9"/>
  <c r="B53" i="9"/>
  <c r="E12" i="9"/>
  <c r="F12" i="9" s="1"/>
  <c r="G12" i="9" s="1"/>
  <c r="H12" i="9" s="1"/>
  <c r="B1" i="9"/>
  <c r="B2" i="9"/>
  <c r="B3" i="9"/>
  <c r="B4" i="9"/>
  <c r="B5" i="9"/>
  <c r="D18" i="9"/>
  <c r="D29" i="9"/>
  <c r="H37" i="14"/>
  <c r="G37" i="14"/>
  <c r="F37" i="14"/>
  <c r="E37" i="14"/>
  <c r="H36" i="14"/>
  <c r="G36" i="14"/>
  <c r="F36" i="14"/>
  <c r="E36" i="14"/>
  <c r="H7" i="14"/>
  <c r="H8" i="14"/>
  <c r="F30" i="14"/>
  <c r="F31" i="14" s="1"/>
  <c r="F33" i="14" s="1"/>
  <c r="G30" i="14"/>
  <c r="E30" i="14"/>
  <c r="H26" i="14"/>
  <c r="H31" i="14" s="1"/>
  <c r="H33" i="14" s="1"/>
  <c r="G26" i="14"/>
  <c r="F26" i="14"/>
  <c r="E26" i="14"/>
  <c r="H19" i="14"/>
  <c r="G19" i="14"/>
  <c r="F19" i="14"/>
  <c r="E19" i="14"/>
  <c r="H14" i="14"/>
  <c r="G14" i="14"/>
  <c r="G20" i="14" s="1"/>
  <c r="F14" i="14"/>
  <c r="F20" i="14" s="1"/>
  <c r="E14" i="14"/>
  <c r="E20" i="14" s="1"/>
  <c r="B3" i="14"/>
  <c r="I1" i="14" s="1"/>
  <c r="G8" i="14"/>
  <c r="F8" i="14" s="1"/>
  <c r="E8" i="14" s="1"/>
  <c r="D8" i="14" s="1"/>
  <c r="B5" i="14"/>
  <c r="B4" i="14"/>
  <c r="B2" i="14"/>
  <c r="B1" i="14"/>
  <c r="G31" i="14" l="1"/>
  <c r="G33" i="14" s="1"/>
  <c r="E31" i="14"/>
  <c r="E33" i="14" s="1"/>
  <c r="B11" i="13" l="1"/>
  <c r="B13" i="13"/>
  <c r="B10" i="13"/>
  <c r="B29" i="10"/>
  <c r="B27" i="10"/>
  <c r="B28" i="10"/>
  <c r="B26" i="10"/>
  <c r="F23" i="11"/>
  <c r="I17" i="3"/>
  <c r="I11" i="3"/>
  <c r="B3" i="11"/>
  <c r="G1" i="11" s="1"/>
  <c r="G42" i="12"/>
  <c r="H42" i="12" s="1"/>
  <c r="I42" i="12" s="1"/>
  <c r="J42" i="12" s="1"/>
  <c r="K42" i="12" s="1"/>
  <c r="M41" i="12"/>
  <c r="L41" i="12"/>
  <c r="K41" i="12"/>
  <c r="J41" i="12"/>
  <c r="I41" i="12"/>
  <c r="H41" i="12"/>
  <c r="M40" i="12"/>
  <c r="L40" i="12"/>
  <c r="K40" i="12"/>
  <c r="J40" i="12"/>
  <c r="I40" i="12"/>
  <c r="H40" i="12"/>
  <c r="G41" i="12"/>
  <c r="G40" i="12"/>
  <c r="G39" i="12"/>
  <c r="H39" i="12" s="1"/>
  <c r="I39" i="12" s="1"/>
  <c r="J39" i="12" s="1"/>
  <c r="K39" i="12" s="1"/>
  <c r="L39" i="12" s="1"/>
  <c r="M39" i="12" s="1"/>
  <c r="H16" i="12"/>
  <c r="H17" i="12" s="1"/>
  <c r="I16" i="12"/>
  <c r="I17" i="12" s="1"/>
  <c r="J16" i="12"/>
  <c r="J17" i="12" s="1"/>
  <c r="K16" i="12"/>
  <c r="K17" i="12" s="1"/>
  <c r="L16" i="12"/>
  <c r="L17" i="12" s="1"/>
  <c r="M16" i="12"/>
  <c r="M17" i="12" s="1"/>
  <c r="G16" i="12"/>
  <c r="G17" i="12" s="1"/>
  <c r="G13" i="12"/>
  <c r="B3" i="12"/>
  <c r="G29" i="12"/>
  <c r="G30" i="12" s="1"/>
  <c r="F22" i="12"/>
  <c r="G11" i="12"/>
  <c r="B5" i="12"/>
  <c r="B4" i="12"/>
  <c r="B2" i="12"/>
  <c r="B1" i="12"/>
  <c r="D24" i="11"/>
  <c r="D21" i="11" s="1"/>
  <c r="D10" i="11"/>
  <c r="D13" i="11" s="1"/>
  <c r="B5" i="11"/>
  <c r="B4" i="11"/>
  <c r="B2" i="11"/>
  <c r="B1" i="11"/>
  <c r="E21" i="10"/>
  <c r="E20" i="10"/>
  <c r="J9" i="10"/>
  <c r="J11" i="10"/>
  <c r="E14" i="10"/>
  <c r="E15" i="10"/>
  <c r="E16" i="10" s="1"/>
  <c r="G20" i="10" s="1"/>
  <c r="D9" i="10"/>
  <c r="D8" i="10"/>
  <c r="E10" i="10"/>
  <c r="B3" i="10"/>
  <c r="B5" i="10"/>
  <c r="B4" i="10"/>
  <c r="B2" i="10"/>
  <c r="B1" i="10"/>
  <c r="J33" i="7"/>
  <c r="I33" i="7"/>
  <c r="H33" i="7"/>
  <c r="G33" i="7"/>
  <c r="F33" i="7"/>
  <c r="E33" i="7"/>
  <c r="D33" i="7"/>
  <c r="E31" i="7"/>
  <c r="F31" i="7"/>
  <c r="G31" i="7"/>
  <c r="H31" i="7"/>
  <c r="I31" i="7"/>
  <c r="J31" i="7"/>
  <c r="D31" i="7"/>
  <c r="G12" i="6"/>
  <c r="E12" i="6"/>
  <c r="E32" i="6" s="1"/>
  <c r="D12" i="6"/>
  <c r="H12" i="6"/>
  <c r="F12" i="6"/>
  <c r="H13" i="8"/>
  <c r="N35" i="8"/>
  <c r="N36" i="8" s="1"/>
  <c r="H10" i="8"/>
  <c r="I10" i="8"/>
  <c r="J10" i="8"/>
  <c r="K10" i="8"/>
  <c r="L10" i="8"/>
  <c r="M10" i="8"/>
  <c r="I13" i="8"/>
  <c r="J13" i="8"/>
  <c r="K13" i="8"/>
  <c r="L13" i="8"/>
  <c r="M13" i="8"/>
  <c r="G13" i="8"/>
  <c r="G10" i="8"/>
  <c r="G36" i="7"/>
  <c r="I36" i="7"/>
  <c r="F25" i="7"/>
  <c r="G25" i="7"/>
  <c r="H25" i="7"/>
  <c r="I25" i="7"/>
  <c r="J25" i="7"/>
  <c r="E25" i="7"/>
  <c r="D25" i="7"/>
  <c r="D26" i="7" s="1"/>
  <c r="G23" i="8" s="1"/>
  <c r="F12" i="7"/>
  <c r="G12" i="7"/>
  <c r="G32" i="7" s="1"/>
  <c r="H12" i="7"/>
  <c r="H32" i="7" s="1"/>
  <c r="I12" i="7"/>
  <c r="I32" i="7" s="1"/>
  <c r="J12" i="7"/>
  <c r="J32" i="7" s="1"/>
  <c r="M16" i="8"/>
  <c r="M22" i="8" s="1"/>
  <c r="L16" i="8"/>
  <c r="L22" i="8" s="1"/>
  <c r="K16" i="8"/>
  <c r="K22" i="8" s="1"/>
  <c r="J16" i="8"/>
  <c r="J22" i="8" s="1"/>
  <c r="I16" i="8"/>
  <c r="I22" i="8" s="1"/>
  <c r="H16" i="8"/>
  <c r="H22" i="8" s="1"/>
  <c r="G16" i="8"/>
  <c r="G22" i="8" s="1"/>
  <c r="E47" i="9"/>
  <c r="F47" i="9" s="1"/>
  <c r="G47" i="9" s="1"/>
  <c r="E46" i="9"/>
  <c r="F46" i="9" s="1"/>
  <c r="G46" i="9" s="1"/>
  <c r="H46" i="9" s="1"/>
  <c r="E42" i="9"/>
  <c r="F42" i="9" s="1"/>
  <c r="G42" i="9" s="1"/>
  <c r="H42" i="9" s="1"/>
  <c r="G50" i="8"/>
  <c r="H50" i="8" s="1"/>
  <c r="I50" i="8" s="1"/>
  <c r="J50" i="8" s="1"/>
  <c r="K50" i="8" s="1"/>
  <c r="L50" i="8" s="1"/>
  <c r="M50" i="8" s="1"/>
  <c r="N50" i="8" s="1"/>
  <c r="E26" i="9"/>
  <c r="E28" i="9" s="1"/>
  <c r="D8" i="7"/>
  <c r="E8" i="7" s="1"/>
  <c r="F8" i="7" s="1"/>
  <c r="G8" i="7" s="1"/>
  <c r="H8" i="7" s="1"/>
  <c r="I8" i="7" s="1"/>
  <c r="J8" i="7" s="1"/>
  <c r="G8" i="8"/>
  <c r="M9" i="8"/>
  <c r="B3" i="8"/>
  <c r="G27" i="8"/>
  <c r="G28" i="8" s="1"/>
  <c r="L9" i="8"/>
  <c r="K9" i="8"/>
  <c r="J9" i="8"/>
  <c r="I9" i="8"/>
  <c r="H9" i="8"/>
  <c r="G9" i="8"/>
  <c r="B5" i="8"/>
  <c r="B4" i="8"/>
  <c r="B2" i="8"/>
  <c r="B1" i="8"/>
  <c r="E24" i="7"/>
  <c r="I17" i="1"/>
  <c r="J17" i="1"/>
  <c r="K17" i="1"/>
  <c r="L17" i="1"/>
  <c r="M17" i="1"/>
  <c r="H17" i="1"/>
  <c r="J8" i="1"/>
  <c r="K8" i="1" s="1"/>
  <c r="L8" i="1" s="1"/>
  <c r="M8" i="1" s="1"/>
  <c r="I8" i="1"/>
  <c r="H8" i="1"/>
  <c r="G8" i="1"/>
  <c r="F14" i="1"/>
  <c r="H9" i="1"/>
  <c r="H10" i="1" s="1"/>
  <c r="H11" i="1" s="1"/>
  <c r="I9" i="1"/>
  <c r="I10" i="1" s="1"/>
  <c r="I11" i="1" s="1"/>
  <c r="J9" i="1"/>
  <c r="J10" i="1" s="1"/>
  <c r="J11" i="1" s="1"/>
  <c r="K9" i="1"/>
  <c r="K10" i="1" s="1"/>
  <c r="K11" i="1" s="1"/>
  <c r="L9" i="1"/>
  <c r="L10" i="1" s="1"/>
  <c r="L11" i="1" s="1"/>
  <c r="M9" i="1"/>
  <c r="M10" i="1" s="1"/>
  <c r="M11" i="1" s="1"/>
  <c r="G9" i="1"/>
  <c r="G10" i="1" s="1"/>
  <c r="G11" i="1" s="1"/>
  <c r="B3" i="1"/>
  <c r="G17" i="1"/>
  <c r="F24" i="7"/>
  <c r="I24" i="8" s="1"/>
  <c r="H24" i="7"/>
  <c r="J24" i="7"/>
  <c r="M24" i="8" s="1"/>
  <c r="E30" i="7"/>
  <c r="J37" i="7"/>
  <c r="J36" i="7"/>
  <c r="J30" i="7"/>
  <c r="I37" i="7"/>
  <c r="H37" i="7"/>
  <c r="H36" i="7"/>
  <c r="I30" i="7"/>
  <c r="H30" i="7"/>
  <c r="B3" i="7"/>
  <c r="G37" i="7"/>
  <c r="F37" i="7"/>
  <c r="E37" i="7"/>
  <c r="F36" i="7"/>
  <c r="G30" i="7"/>
  <c r="C21" i="7"/>
  <c r="F19" i="8" s="1"/>
  <c r="B5" i="7"/>
  <c r="B4" i="7"/>
  <c r="B2" i="7"/>
  <c r="B1" i="7"/>
  <c r="F31" i="6"/>
  <c r="G31" i="6"/>
  <c r="E31" i="6"/>
  <c r="H36" i="6"/>
  <c r="G36" i="6"/>
  <c r="F36" i="6"/>
  <c r="E36" i="6"/>
  <c r="H35" i="6"/>
  <c r="G35" i="6"/>
  <c r="F35" i="6"/>
  <c r="E35" i="6"/>
  <c r="D36" i="6"/>
  <c r="D35" i="6"/>
  <c r="C25" i="6"/>
  <c r="H8" i="6"/>
  <c r="H7" i="6"/>
  <c r="G8" i="6"/>
  <c r="F8" i="6" s="1"/>
  <c r="E8" i="6" s="1"/>
  <c r="D8" i="6" s="1"/>
  <c r="B3" i="6"/>
  <c r="B5" i="6"/>
  <c r="B4" i="6"/>
  <c r="B2" i="6"/>
  <c r="B1" i="6"/>
  <c r="B5" i="1"/>
  <c r="B4" i="1"/>
  <c r="B2" i="1"/>
  <c r="B1" i="1"/>
  <c r="E24" i="4"/>
  <c r="F24" i="4" s="1"/>
  <c r="F22" i="4"/>
  <c r="F20" i="4"/>
  <c r="F15" i="4"/>
  <c r="F16" i="4"/>
  <c r="F17" i="4"/>
  <c r="F14" i="4"/>
  <c r="F10" i="4"/>
  <c r="F9" i="4"/>
  <c r="B5" i="4"/>
  <c r="B4" i="4"/>
  <c r="B3" i="4"/>
  <c r="B2" i="4"/>
  <c r="B1" i="4"/>
  <c r="I8" i="3"/>
  <c r="I9" i="3" s="1"/>
  <c r="B7" i="3"/>
  <c r="B2" i="3"/>
  <c r="B1" i="3"/>
  <c r="C17" i="2"/>
  <c r="F11" i="11" l="1"/>
  <c r="F10" i="11"/>
  <c r="F12" i="11"/>
  <c r="F11" i="4"/>
  <c r="L42" i="12"/>
  <c r="H12" i="12"/>
  <c r="G14" i="12"/>
  <c r="G18" i="12" s="1"/>
  <c r="J10" i="10"/>
  <c r="J12" i="10" s="1"/>
  <c r="J16" i="10" s="1"/>
  <c r="G21" i="10" s="1"/>
  <c r="G22" i="10" s="1"/>
  <c r="G23" i="10" s="1"/>
  <c r="G31" i="12"/>
  <c r="H11" i="12"/>
  <c r="F13" i="11"/>
  <c r="J15" i="7"/>
  <c r="J34" i="7" s="1"/>
  <c r="I15" i="7"/>
  <c r="G32" i="6"/>
  <c r="G19" i="6"/>
  <c r="G23" i="6" s="1"/>
  <c r="G25" i="6" s="1"/>
  <c r="G26" i="6" s="1"/>
  <c r="D32" i="6"/>
  <c r="D19" i="6"/>
  <c r="D23" i="6" s="1"/>
  <c r="D34" i="6" s="1"/>
  <c r="F19" i="6"/>
  <c r="F32" i="6"/>
  <c r="H19" i="6"/>
  <c r="H32" i="6"/>
  <c r="K24" i="8"/>
  <c r="K49" i="8" s="1"/>
  <c r="H24" i="8"/>
  <c r="H49" i="8" s="1"/>
  <c r="I11" i="8"/>
  <c r="I44" i="8" s="1"/>
  <c r="K11" i="8"/>
  <c r="K44" i="8" s="1"/>
  <c r="I14" i="8"/>
  <c r="I46" i="8" s="1"/>
  <c r="G43" i="9" s="1"/>
  <c r="G11" i="8"/>
  <c r="G14" i="8" s="1"/>
  <c r="G17" i="8" s="1"/>
  <c r="H47" i="8"/>
  <c r="F45" i="9" s="1"/>
  <c r="J47" i="8"/>
  <c r="H45" i="9" s="1"/>
  <c r="H16" i="9" s="1"/>
  <c r="H20" i="9" s="1"/>
  <c r="L47" i="8"/>
  <c r="I43" i="8"/>
  <c r="G45" i="8"/>
  <c r="E44" i="9" s="1"/>
  <c r="I49" i="8"/>
  <c r="G43" i="8"/>
  <c r="I45" i="8"/>
  <c r="G44" i="9" s="1"/>
  <c r="G47" i="8"/>
  <c r="E45" i="9" s="1"/>
  <c r="K47" i="8"/>
  <c r="M47" i="8"/>
  <c r="G14" i="9"/>
  <c r="K43" i="8"/>
  <c r="K45" i="8"/>
  <c r="I47" i="8"/>
  <c r="G45" i="9" s="1"/>
  <c r="F15" i="7"/>
  <c r="F34" i="7" s="1"/>
  <c r="M49" i="8"/>
  <c r="F14" i="9"/>
  <c r="H45" i="8"/>
  <c r="F44" i="9" s="1"/>
  <c r="H43" i="8"/>
  <c r="H42" i="8"/>
  <c r="I42" i="8"/>
  <c r="J45" i="8"/>
  <c r="H44" i="9" s="1"/>
  <c r="J43" i="8"/>
  <c r="J42" i="8"/>
  <c r="K42" i="8"/>
  <c r="L11" i="8"/>
  <c r="L45" i="8"/>
  <c r="L43" i="8"/>
  <c r="L42" i="8"/>
  <c r="N9" i="8"/>
  <c r="M45" i="8"/>
  <c r="M43" i="8"/>
  <c r="M42" i="8"/>
  <c r="E14" i="9"/>
  <c r="E22" i="9" s="1"/>
  <c r="H47" i="9"/>
  <c r="E27" i="9"/>
  <c r="M11" i="8"/>
  <c r="M14" i="8" s="1"/>
  <c r="F26" i="9"/>
  <c r="G26" i="9"/>
  <c r="N13" i="8"/>
  <c r="M12" i="1"/>
  <c r="M13" i="1" s="1"/>
  <c r="M14" i="1" s="1"/>
  <c r="M15" i="1" s="1"/>
  <c r="K12" i="1"/>
  <c r="K13" i="1" s="1"/>
  <c r="K14" i="1" s="1"/>
  <c r="K15" i="1" s="1"/>
  <c r="I12" i="1"/>
  <c r="I13" i="1" s="1"/>
  <c r="I14" i="1" s="1"/>
  <c r="I15" i="1" s="1"/>
  <c r="N9" i="1"/>
  <c r="N10" i="1" s="1"/>
  <c r="N12" i="1" s="1"/>
  <c r="G12" i="1"/>
  <c r="G13" i="1" s="1"/>
  <c r="G14" i="1" s="1"/>
  <c r="G15" i="1" s="1"/>
  <c r="L12" i="1"/>
  <c r="L13" i="1" s="1"/>
  <c r="L14" i="1" s="1"/>
  <c r="L15" i="1" s="1"/>
  <c r="J12" i="1"/>
  <c r="J13" i="1" s="1"/>
  <c r="J14" i="1" s="1"/>
  <c r="J15" i="1" s="1"/>
  <c r="H12" i="1"/>
  <c r="H13" i="1" s="1"/>
  <c r="H14" i="1" s="1"/>
  <c r="H15" i="1" s="1"/>
  <c r="J11" i="8"/>
  <c r="H11" i="8"/>
  <c r="G19" i="1"/>
  <c r="G18" i="1"/>
  <c r="H18" i="1" s="1"/>
  <c r="I18" i="1" s="1"/>
  <c r="H8" i="8"/>
  <c r="H27" i="8" s="1"/>
  <c r="H28" i="8" s="1"/>
  <c r="G29" i="8"/>
  <c r="G30" i="8" s="1"/>
  <c r="E26" i="7"/>
  <c r="H23" i="8" s="1"/>
  <c r="D24" i="7"/>
  <c r="G24" i="8" s="1"/>
  <c r="I24" i="7"/>
  <c r="G24" i="7"/>
  <c r="H19" i="1"/>
  <c r="B9" i="3"/>
  <c r="I10" i="3"/>
  <c r="I1" i="6"/>
  <c r="B8" i="3"/>
  <c r="F1" i="4"/>
  <c r="H15" i="7"/>
  <c r="E19" i="6"/>
  <c r="G34" i="6"/>
  <c r="G15" i="7"/>
  <c r="G19" i="7" s="1"/>
  <c r="G35" i="7" s="1"/>
  <c r="E12" i="7"/>
  <c r="F30" i="7"/>
  <c r="D37" i="7"/>
  <c r="D12" i="7"/>
  <c r="D36" i="7"/>
  <c r="E36" i="7"/>
  <c r="F32" i="7"/>
  <c r="H22" i="9" l="1"/>
  <c r="O22" i="9"/>
  <c r="F22" i="9"/>
  <c r="F16" i="9"/>
  <c r="F20" i="9" s="1"/>
  <c r="G22" i="9"/>
  <c r="G16" i="9"/>
  <c r="G20" i="9" s="1"/>
  <c r="G15" i="9"/>
  <c r="M14" i="9"/>
  <c r="M22" i="9" s="1"/>
  <c r="N14" i="9"/>
  <c r="N22" i="9" s="1"/>
  <c r="L14" i="9"/>
  <c r="L22" i="9" s="1"/>
  <c r="E16" i="9"/>
  <c r="E20" i="9" s="1"/>
  <c r="F22" i="11"/>
  <c r="G26" i="12"/>
  <c r="G25" i="12"/>
  <c r="M42" i="12"/>
  <c r="G19" i="12"/>
  <c r="G20" i="12"/>
  <c r="G24" i="12" s="1"/>
  <c r="H13" i="12"/>
  <c r="I12" i="12" s="1"/>
  <c r="I19" i="1"/>
  <c r="I11" i="12"/>
  <c r="I29" i="12" s="1"/>
  <c r="F32" i="12"/>
  <c r="E17" i="11" s="1"/>
  <c r="F17" i="11" s="1"/>
  <c r="F20" i="1"/>
  <c r="G20" i="1" s="1"/>
  <c r="G21" i="1" s="1"/>
  <c r="H29" i="12"/>
  <c r="N11" i="1"/>
  <c r="N13" i="1" s="1"/>
  <c r="G48" i="8"/>
  <c r="F19" i="7"/>
  <c r="F35" i="7" s="1"/>
  <c r="D33" i="6"/>
  <c r="G33" i="6"/>
  <c r="D25" i="6"/>
  <c r="D26" i="6" s="1"/>
  <c r="H23" i="6"/>
  <c r="H33" i="6"/>
  <c r="F23" i="6"/>
  <c r="F33" i="6"/>
  <c r="L24" i="8"/>
  <c r="L49" i="8" s="1"/>
  <c r="J24" i="8"/>
  <c r="J49" i="8" s="1"/>
  <c r="I17" i="8"/>
  <c r="G46" i="8"/>
  <c r="E43" i="9" s="1"/>
  <c r="E15" i="9" s="1"/>
  <c r="G44" i="8"/>
  <c r="K14" i="8"/>
  <c r="K17" i="8" s="1"/>
  <c r="G19" i="8"/>
  <c r="G20" i="8" s="1"/>
  <c r="M46" i="8"/>
  <c r="M17" i="8"/>
  <c r="E32" i="7"/>
  <c r="D15" i="7"/>
  <c r="G21" i="7"/>
  <c r="G22" i="7" s="1"/>
  <c r="J14" i="8"/>
  <c r="J44" i="8"/>
  <c r="N45" i="8"/>
  <c r="N42" i="8"/>
  <c r="L44" i="8"/>
  <c r="G49" i="8"/>
  <c r="L14" i="8"/>
  <c r="L17" i="8" s="1"/>
  <c r="H14" i="8"/>
  <c r="H44" i="8"/>
  <c r="N10" i="8"/>
  <c r="M44" i="8"/>
  <c r="N24" i="8"/>
  <c r="N16" i="8" s="1"/>
  <c r="N22" i="8" s="1"/>
  <c r="F27" i="9"/>
  <c r="G28" i="9" s="1"/>
  <c r="H26" i="9"/>
  <c r="F28" i="9"/>
  <c r="H29" i="8"/>
  <c r="H30" i="8" s="1"/>
  <c r="I8" i="8"/>
  <c r="I27" i="8" s="1"/>
  <c r="I28" i="8" s="1"/>
  <c r="F26" i="7"/>
  <c r="I23" i="8" s="1"/>
  <c r="J19" i="1"/>
  <c r="J20" i="1" s="1"/>
  <c r="J21" i="1" s="1"/>
  <c r="J18" i="1"/>
  <c r="B10" i="3"/>
  <c r="I34" i="7"/>
  <c r="I19" i="7"/>
  <c r="H34" i="7"/>
  <c r="H19" i="7"/>
  <c r="J19" i="7"/>
  <c r="J35" i="7" s="1"/>
  <c r="G34" i="7"/>
  <c r="E33" i="6"/>
  <c r="E23" i="6"/>
  <c r="E15" i="7"/>
  <c r="E19" i="7" s="1"/>
  <c r="E21" i="7" s="1"/>
  <c r="E22" i="7" s="1"/>
  <c r="D32" i="7"/>
  <c r="E35" i="7"/>
  <c r="G17" i="9" l="1"/>
  <c r="G18" i="9" s="1"/>
  <c r="G19" i="9" s="1"/>
  <c r="E17" i="9"/>
  <c r="O21" i="9"/>
  <c r="E18" i="9"/>
  <c r="E19" i="9" s="1"/>
  <c r="L15" i="9"/>
  <c r="L16" i="9"/>
  <c r="L20" i="9" s="1"/>
  <c r="M21" i="9"/>
  <c r="L21" i="9"/>
  <c r="N21" i="9"/>
  <c r="N15" i="9"/>
  <c r="N16" i="9"/>
  <c r="N20" i="9" s="1"/>
  <c r="F29" i="9"/>
  <c r="G29" i="9"/>
  <c r="G21" i="12"/>
  <c r="H14" i="12"/>
  <c r="H18" i="12" s="1"/>
  <c r="I13" i="12"/>
  <c r="J12" i="12" s="1"/>
  <c r="H30" i="12"/>
  <c r="I31" i="12" s="1"/>
  <c r="H31" i="12"/>
  <c r="H32" i="12" s="1"/>
  <c r="E18" i="11"/>
  <c r="E29" i="9"/>
  <c r="I32" i="12"/>
  <c r="G32" i="12"/>
  <c r="J11" i="12"/>
  <c r="J29" i="12" s="1"/>
  <c r="N26" i="1"/>
  <c r="E16" i="11"/>
  <c r="H20" i="1"/>
  <c r="H21" i="1" s="1"/>
  <c r="I20" i="1"/>
  <c r="I21" i="1" s="1"/>
  <c r="N14" i="1"/>
  <c r="N15" i="1" s="1"/>
  <c r="N25" i="1" s="1"/>
  <c r="L48" i="8"/>
  <c r="K48" i="8"/>
  <c r="I48" i="8"/>
  <c r="M48" i="8"/>
  <c r="F21" i="7"/>
  <c r="F22" i="7" s="1"/>
  <c r="F34" i="6"/>
  <c r="F25" i="6"/>
  <c r="F26" i="6" s="1"/>
  <c r="H34" i="6"/>
  <c r="H25" i="6"/>
  <c r="H26" i="6" s="1"/>
  <c r="N49" i="8"/>
  <c r="I19" i="8"/>
  <c r="I20" i="8" s="1"/>
  <c r="K46" i="8"/>
  <c r="G25" i="8"/>
  <c r="E34" i="7"/>
  <c r="J46" i="8"/>
  <c r="H43" i="9" s="1"/>
  <c r="J17" i="8"/>
  <c r="H46" i="8"/>
  <c r="F43" i="9" s="1"/>
  <c r="H17" i="8"/>
  <c r="D34" i="7"/>
  <c r="D19" i="7"/>
  <c r="G27" i="9"/>
  <c r="H27" i="9" s="1"/>
  <c r="M19" i="8"/>
  <c r="M20" i="8" s="1"/>
  <c r="K19" i="8"/>
  <c r="K20" i="8" s="1"/>
  <c r="N11" i="8"/>
  <c r="N43" i="8"/>
  <c r="L46" i="8"/>
  <c r="J8" i="8"/>
  <c r="J27" i="8" s="1"/>
  <c r="I29" i="8"/>
  <c r="I30" i="8" s="1"/>
  <c r="G26" i="7"/>
  <c r="J23" i="8" s="1"/>
  <c r="K18" i="1"/>
  <c r="K19" i="1"/>
  <c r="K20" i="1" s="1"/>
  <c r="K21" i="1" s="1"/>
  <c r="I12" i="3"/>
  <c r="B11" i="3"/>
  <c r="H35" i="7"/>
  <c r="H21" i="7"/>
  <c r="H22" i="7" s="1"/>
  <c r="I35" i="7"/>
  <c r="I21" i="7"/>
  <c r="I22" i="7" s="1"/>
  <c r="J21" i="7"/>
  <c r="J22" i="7" s="1"/>
  <c r="E34" i="6"/>
  <c r="E25" i="6"/>
  <c r="E26" i="6" s="1"/>
  <c r="M15" i="9" l="1"/>
  <c r="F15" i="9"/>
  <c r="F17" i="9" s="1"/>
  <c r="F18" i="9" s="1"/>
  <c r="F19" i="9" s="1"/>
  <c r="O15" i="9"/>
  <c r="H15" i="9"/>
  <c r="H17" i="9" s="1"/>
  <c r="H18" i="9" s="1"/>
  <c r="H19" i="9" s="1"/>
  <c r="H28" i="9"/>
  <c r="H29" i="9" s="1"/>
  <c r="L17" i="9"/>
  <c r="N17" i="9"/>
  <c r="H26" i="12"/>
  <c r="H25" i="12"/>
  <c r="G22" i="12"/>
  <c r="G23" i="12" s="1"/>
  <c r="G27" i="12" s="1"/>
  <c r="H19" i="12"/>
  <c r="H20" i="12"/>
  <c r="H24" i="12" s="1"/>
  <c r="I30" i="12"/>
  <c r="J30" i="12" s="1"/>
  <c r="I14" i="12"/>
  <c r="I18" i="12" s="1"/>
  <c r="J13" i="12"/>
  <c r="K12" i="12" s="1"/>
  <c r="K11" i="12"/>
  <c r="K29" i="12" s="1"/>
  <c r="H48" i="8"/>
  <c r="J48" i="8"/>
  <c r="N47" i="8"/>
  <c r="G31" i="8"/>
  <c r="I25" i="8"/>
  <c r="D21" i="7"/>
  <c r="D22" i="7" s="1"/>
  <c r="D35" i="7"/>
  <c r="L19" i="8"/>
  <c r="L20" i="8" s="1"/>
  <c r="H19" i="8"/>
  <c r="H20" i="8" s="1"/>
  <c r="J19" i="8"/>
  <c r="J20" i="8" s="1"/>
  <c r="N44" i="8"/>
  <c r="N14" i="8"/>
  <c r="N17" i="8" s="1"/>
  <c r="J28" i="8"/>
  <c r="J29" i="8"/>
  <c r="J30" i="8" s="1"/>
  <c r="K8" i="8"/>
  <c r="K27" i="8" s="1"/>
  <c r="H26" i="7"/>
  <c r="K23" i="8" s="1"/>
  <c r="L18" i="1"/>
  <c r="L19" i="1"/>
  <c r="L20" i="1" s="1"/>
  <c r="L21" i="1" s="1"/>
  <c r="I13" i="3"/>
  <c r="B12" i="3"/>
  <c r="L18" i="9" l="1"/>
  <c r="L19" i="9" s="1"/>
  <c r="L23" i="9" s="1"/>
  <c r="N18" i="9"/>
  <c r="N19" i="9" s="1"/>
  <c r="N23" i="9" s="1"/>
  <c r="E23" i="9"/>
  <c r="I26" i="12"/>
  <c r="I25" i="12"/>
  <c r="J31" i="12"/>
  <c r="J32" i="12" s="1"/>
  <c r="H21" i="12"/>
  <c r="I19" i="12"/>
  <c r="I20" i="12"/>
  <c r="I24" i="12" s="1"/>
  <c r="J14" i="12"/>
  <c r="J18" i="12" s="1"/>
  <c r="K13" i="12"/>
  <c r="L12" i="12" s="1"/>
  <c r="K30" i="12"/>
  <c r="K31" i="12"/>
  <c r="K32" i="12" s="1"/>
  <c r="L11" i="12"/>
  <c r="L29" i="12" s="1"/>
  <c r="L30" i="12" s="1"/>
  <c r="N48" i="8"/>
  <c r="I31" i="8"/>
  <c r="K25" i="8"/>
  <c r="O16" i="9"/>
  <c r="O20" i="9" s="1"/>
  <c r="J25" i="8"/>
  <c r="M16" i="9"/>
  <c r="M20" i="9" s="1"/>
  <c r="H25" i="8"/>
  <c r="N46" i="8"/>
  <c r="K1" i="7"/>
  <c r="N1" i="8"/>
  <c r="K28" i="8"/>
  <c r="K29" i="8"/>
  <c r="K30" i="8" s="1"/>
  <c r="L8" i="8"/>
  <c r="L27" i="8" s="1"/>
  <c r="L28" i="8" s="1"/>
  <c r="J26" i="7"/>
  <c r="M23" i="8" s="1"/>
  <c r="N23" i="8" s="1"/>
  <c r="I26" i="7"/>
  <c r="L23" i="8" s="1"/>
  <c r="M18" i="1"/>
  <c r="M19" i="1"/>
  <c r="M20" i="1" s="1"/>
  <c r="B13" i="3"/>
  <c r="N1" i="1" s="1"/>
  <c r="I14" i="3"/>
  <c r="E30" i="9" l="1"/>
  <c r="E32" i="9" s="1"/>
  <c r="G30" i="9"/>
  <c r="G23" i="9"/>
  <c r="J26" i="12"/>
  <c r="J25" i="12"/>
  <c r="J19" i="12"/>
  <c r="J20" i="12"/>
  <c r="J24" i="12" s="1"/>
  <c r="I21" i="12"/>
  <c r="H22" i="12"/>
  <c r="H23" i="12" s="1"/>
  <c r="H27" i="12" s="1"/>
  <c r="I22" i="12"/>
  <c r="K14" i="12"/>
  <c r="K18" i="12" s="1"/>
  <c r="L13" i="12"/>
  <c r="M12" i="12" s="1"/>
  <c r="M14" i="12" s="1"/>
  <c r="M18" i="12" s="1"/>
  <c r="M11" i="12"/>
  <c r="M29" i="12" s="1"/>
  <c r="L31" i="12"/>
  <c r="L32" i="12" s="1"/>
  <c r="H31" i="8"/>
  <c r="O17" i="9"/>
  <c r="O18" i="9" s="1"/>
  <c r="M17" i="9"/>
  <c r="M18" i="9" s="1"/>
  <c r="M19" i="9" s="1"/>
  <c r="K31" i="8"/>
  <c r="L25" i="8"/>
  <c r="J31" i="8"/>
  <c r="N19" i="8"/>
  <c r="N20" i="8" s="1"/>
  <c r="M25" i="8"/>
  <c r="M8" i="8"/>
  <c r="M27" i="8" s="1"/>
  <c r="M28" i="8" s="1"/>
  <c r="L29" i="8"/>
  <c r="L30" i="8" s="1"/>
  <c r="M21" i="1"/>
  <c r="G23" i="1" s="1"/>
  <c r="N27" i="1"/>
  <c r="G24" i="1" s="1"/>
  <c r="I15" i="3"/>
  <c r="B14" i="3"/>
  <c r="H1" i="9" s="1"/>
  <c r="G32" i="9" l="1"/>
  <c r="F23" i="9"/>
  <c r="K26" i="12"/>
  <c r="K25" i="12"/>
  <c r="M26" i="12"/>
  <c r="M25" i="12"/>
  <c r="I23" i="12"/>
  <c r="I27" i="12" s="1"/>
  <c r="J21" i="12"/>
  <c r="K19" i="12"/>
  <c r="K20" i="12"/>
  <c r="K24" i="12" s="1"/>
  <c r="M19" i="12"/>
  <c r="M20" i="12"/>
  <c r="M24" i="12" s="1"/>
  <c r="L14" i="12"/>
  <c r="L18" i="12" s="1"/>
  <c r="M30" i="12"/>
  <c r="M31" i="12"/>
  <c r="M32" i="12" s="1"/>
  <c r="R31" i="8"/>
  <c r="O19" i="9"/>
  <c r="O23" i="9" s="1"/>
  <c r="L31" i="8"/>
  <c r="N25" i="8"/>
  <c r="N34" i="8" s="1"/>
  <c r="M23" i="9"/>
  <c r="M29" i="8"/>
  <c r="M30" i="8" s="1"/>
  <c r="M31" i="8" s="1"/>
  <c r="G25" i="1"/>
  <c r="B15" i="3"/>
  <c r="M1" i="12" s="1"/>
  <c r="I16" i="3"/>
  <c r="F30" i="9" l="1"/>
  <c r="F32" i="9" s="1"/>
  <c r="H30" i="9"/>
  <c r="H32" i="9" s="1"/>
  <c r="L26" i="12"/>
  <c r="L25" i="12"/>
  <c r="M21" i="12"/>
  <c r="M22" i="12" s="1"/>
  <c r="K21" i="12"/>
  <c r="L19" i="12"/>
  <c r="L20" i="12"/>
  <c r="L24" i="12" s="1"/>
  <c r="J22" i="12"/>
  <c r="J23" i="12" s="1"/>
  <c r="J27" i="12" s="1"/>
  <c r="G26" i="1"/>
  <c r="G27" i="1" s="1"/>
  <c r="G33" i="8"/>
  <c r="N37" i="8"/>
  <c r="G34" i="8" s="1"/>
  <c r="B16" i="3"/>
  <c r="M23" i="12" l="1"/>
  <c r="M27" i="12" s="1"/>
  <c r="K22" i="12"/>
  <c r="K23" i="12"/>
  <c r="K27" i="12" s="1"/>
  <c r="L21" i="12"/>
  <c r="E19" i="4"/>
  <c r="F19" i="4" s="1"/>
  <c r="D16" i="11"/>
  <c r="F16" i="11" s="1"/>
  <c r="E35" i="9"/>
  <c r="E37" i="9" s="1"/>
  <c r="G35" i="8"/>
  <c r="I18" i="3"/>
  <c r="B17" i="3"/>
  <c r="J1" i="10" s="1"/>
  <c r="E38" i="9" l="1"/>
  <c r="E39" i="9" s="1"/>
  <c r="L22" i="12"/>
  <c r="L23" i="12" s="1"/>
  <c r="L27" i="12" s="1"/>
  <c r="G36" i="8"/>
  <c r="I19" i="3"/>
  <c r="B18" i="3"/>
  <c r="E21" i="4" l="1"/>
  <c r="F21" i="4" s="1"/>
  <c r="D18" i="11"/>
  <c r="F18" i="11" s="1"/>
  <c r="F19" i="11" s="1"/>
  <c r="B19" i="3"/>
  <c r="I20" i="3"/>
  <c r="D19" i="11" l="1"/>
  <c r="D20" i="11" s="1"/>
  <c r="F20" i="11" s="1"/>
  <c r="B20" i="3"/>
  <c r="I21" i="3"/>
  <c r="B21" i="3" s="1"/>
  <c r="F21" i="11" l="1"/>
  <c r="K33" i="12" l="1"/>
  <c r="I33" i="12"/>
  <c r="J33" i="12"/>
  <c r="L33" i="12"/>
  <c r="M33" i="12"/>
  <c r="H33" i="12"/>
  <c r="G33" i="12"/>
  <c r="G35" i="12" l="1"/>
  <c r="G36" i="12" l="1"/>
  <c r="G37" i="12" s="1"/>
</calcChain>
</file>

<file path=xl/sharedStrings.xml><?xml version="1.0" encoding="utf-8"?>
<sst xmlns="http://schemas.openxmlformats.org/spreadsheetml/2006/main" count="369" uniqueCount="239">
  <si>
    <t>Projections for Years Ending December 31</t>
  </si>
  <si>
    <t>Terminal Yr</t>
  </si>
  <si>
    <t>Total Company Revenue</t>
  </si>
  <si>
    <t>Total Revenue Associated with Trademarks</t>
  </si>
  <si>
    <t>Pre-Tax Royalty Savings</t>
  </si>
  <si>
    <t>Income Taxes</t>
  </si>
  <si>
    <t>After-Tax Royalty Savings</t>
  </si>
  <si>
    <t xml:space="preserve">Partial Period Adjustment </t>
  </si>
  <si>
    <t>Mid-Year Period</t>
  </si>
  <si>
    <t>Present Value Factor</t>
  </si>
  <si>
    <t>Present Value of Royalty Savings</t>
  </si>
  <si>
    <t xml:space="preserve"> </t>
  </si>
  <si>
    <t>Key Inputs and Assumptions</t>
  </si>
  <si>
    <t>Data</t>
  </si>
  <si>
    <t>Blue</t>
  </si>
  <si>
    <t>Formula</t>
  </si>
  <si>
    <t>Black</t>
  </si>
  <si>
    <t>Check</t>
  </si>
  <si>
    <t>Red</t>
  </si>
  <si>
    <t>Color codeing</t>
  </si>
  <si>
    <t>Acquirer Company Name</t>
  </si>
  <si>
    <t>Target Company Name</t>
  </si>
  <si>
    <t>Valuation Date</t>
  </si>
  <si>
    <t>Portion of year remaining</t>
  </si>
  <si>
    <t>Latest Fiscal Year End</t>
  </si>
  <si>
    <t>Trailing Twelve Months End</t>
  </si>
  <si>
    <t>First Year of Projections</t>
  </si>
  <si>
    <t>Federal Tax Rate</t>
  </si>
  <si>
    <t>State Tax Rate</t>
  </si>
  <si>
    <t>Subject Effective Tax Rate</t>
  </si>
  <si>
    <t>Prime Rate</t>
  </si>
  <si>
    <t>Currency Heading</t>
  </si>
  <si>
    <t>(in USD ‘000s unless specified otherwise)</t>
  </si>
  <si>
    <t>Global column heading for historicals:</t>
  </si>
  <si>
    <t>For the years ended 31 Dec</t>
  </si>
  <si>
    <t>Global column heading for projections:</t>
  </si>
  <si>
    <t>For the years ending 31 Dec</t>
  </si>
  <si>
    <t>Table of Contents</t>
  </si>
  <si>
    <t>Exhibit Number</t>
  </si>
  <si>
    <t>Exhibit Labeling</t>
  </si>
  <si>
    <t>Summary of Values</t>
  </si>
  <si>
    <t>Trademark and Tradenames</t>
  </si>
  <si>
    <t>Technology</t>
  </si>
  <si>
    <t>Non-Compete Agreements</t>
  </si>
  <si>
    <t>Weighted average return on assets</t>
  </si>
  <si>
    <t>Developed Technology</t>
  </si>
  <si>
    <t>Contributory Asset Charges</t>
  </si>
  <si>
    <t>Projected Income Statement</t>
  </si>
  <si>
    <t>Fair Value</t>
  </si>
  <si>
    <t>Indicated</t>
  </si>
  <si>
    <t>%</t>
  </si>
  <si>
    <t>Purchase Consideration</t>
  </si>
  <si>
    <t>Equity</t>
  </si>
  <si>
    <t>Assumed Debt</t>
  </si>
  <si>
    <t>Total Purchase Consideration</t>
  </si>
  <si>
    <t>Tangible Assets</t>
  </si>
  <si>
    <t>Operating Working Capital</t>
  </si>
  <si>
    <t>Property and Equipment, Net</t>
  </si>
  <si>
    <t>Net Non-Current Assets</t>
  </si>
  <si>
    <t>Total Tangible Assets</t>
  </si>
  <si>
    <t>Intangible Assets</t>
  </si>
  <si>
    <t>Trade Name and Trademarks</t>
  </si>
  <si>
    <t>Noncompete Agreement</t>
  </si>
  <si>
    <t>Total Intangible Assets</t>
  </si>
  <si>
    <t>Implied Goodwill</t>
  </si>
  <si>
    <t>Purchase Consideration to be Allocated</t>
  </si>
  <si>
    <t>Income Statement</t>
  </si>
  <si>
    <t>Revenue</t>
  </si>
  <si>
    <t>Gross Profit</t>
  </si>
  <si>
    <t>Operating expenses (excl. Dep.)</t>
  </si>
  <si>
    <t>EBITDA</t>
  </si>
  <si>
    <t>Depreciation</t>
  </si>
  <si>
    <t>Amortization</t>
  </si>
  <si>
    <t>EBIT</t>
  </si>
  <si>
    <t>Taxes</t>
  </si>
  <si>
    <t>Net Income</t>
  </si>
  <si>
    <t>Selected performance metrics</t>
  </si>
  <si>
    <t>Revenue growth</t>
  </si>
  <si>
    <t>Gross profit margin</t>
  </si>
  <si>
    <t>EBITDA margin</t>
  </si>
  <si>
    <t>EBIT margin</t>
  </si>
  <si>
    <t>Depreciation, % of revenue</t>
  </si>
  <si>
    <t>Amortization, % of revenue</t>
  </si>
  <si>
    <t>NA</t>
  </si>
  <si>
    <t>Projected Financial Information</t>
  </si>
  <si>
    <t>Weighted Average Cost of Capital</t>
  </si>
  <si>
    <t>Beta Calculation</t>
  </si>
  <si>
    <t>Capital Expenditure %revenue</t>
  </si>
  <si>
    <t>Depreciation %revenue</t>
  </si>
  <si>
    <t>Comparable Company Metrices</t>
  </si>
  <si>
    <t>Transaction Type</t>
  </si>
  <si>
    <t>Customer Attrition Rate</t>
  </si>
  <si>
    <t>Remaining Unused Life</t>
  </si>
  <si>
    <t>- Trade Name and Trademarks</t>
  </si>
  <si>
    <t>- Technology</t>
  </si>
  <si>
    <t>- Non-compete Agreement</t>
  </si>
  <si>
    <t>Revenue Attributable to Trademarks</t>
  </si>
  <si>
    <t>Royalty Rate</t>
  </si>
  <si>
    <t>Probability of Competition</t>
  </si>
  <si>
    <t>Long Term Growth Rate</t>
  </si>
  <si>
    <t>Risk Free Rate</t>
  </si>
  <si>
    <t>Taxable</t>
  </si>
  <si>
    <t>Indefinite</t>
  </si>
  <si>
    <t>6 Years</t>
  </si>
  <si>
    <t>3 Years</t>
  </si>
  <si>
    <t>Stub Period</t>
  </si>
  <si>
    <t>Capital expenditures</t>
  </si>
  <si>
    <t>DFNWC</t>
  </si>
  <si>
    <t>Change in DFNWC</t>
  </si>
  <si>
    <t>Cumulative years</t>
  </si>
  <si>
    <t>Terminal value calculation</t>
  </si>
  <si>
    <t>Present value of terminal cash flow</t>
  </si>
  <si>
    <t>Capitalization Factor</t>
  </si>
  <si>
    <t>Present value discrete cash flows</t>
  </si>
  <si>
    <t>Present value terminal cash flow</t>
  </si>
  <si>
    <t>Subtotal</t>
  </si>
  <si>
    <t>Tax amortization benefit</t>
  </si>
  <si>
    <t>Recommended Fair Value (rounded)</t>
  </si>
  <si>
    <t>TAB Years</t>
  </si>
  <si>
    <t>Royalty Savings</t>
  </si>
  <si>
    <t>Maintenance Charge</t>
  </si>
  <si>
    <t>Internal rate of return</t>
  </si>
  <si>
    <t>Depreciation and Ammortization</t>
  </si>
  <si>
    <t>Pre Tax Income</t>
  </si>
  <si>
    <t xml:space="preserve">Add: Depreciation </t>
  </si>
  <si>
    <t>Add/(less): Changes in DFNWC</t>
  </si>
  <si>
    <t>Less: Capital expenditures</t>
  </si>
  <si>
    <t xml:space="preserve">Debt-free cash flow </t>
  </si>
  <si>
    <t>Cost of Sales</t>
  </si>
  <si>
    <t>Without Competition</t>
  </si>
  <si>
    <t>With Competition</t>
  </si>
  <si>
    <t>COGS % revenue</t>
  </si>
  <si>
    <t>Gross Profit Margin</t>
  </si>
  <si>
    <t>Operating Expenses % revenue</t>
  </si>
  <si>
    <t>Depreciation % revenue</t>
  </si>
  <si>
    <t>EBIDA margin</t>
  </si>
  <si>
    <t>Net working capital % revenue</t>
  </si>
  <si>
    <t>Selected assumptions</t>
  </si>
  <si>
    <t>Potential impact to revenue</t>
  </si>
  <si>
    <t>Operating expenses, total</t>
  </si>
  <si>
    <t>Net working capital</t>
  </si>
  <si>
    <t xml:space="preserve">Probability of competition </t>
  </si>
  <si>
    <t xml:space="preserve">Depreciation </t>
  </si>
  <si>
    <t>Stub</t>
  </si>
  <si>
    <t>Less: Tax</t>
  </si>
  <si>
    <t>Required Working Capital FY2020</t>
  </si>
  <si>
    <t>Apr 1 to Dec 31</t>
  </si>
  <si>
    <t>Terminal</t>
  </si>
  <si>
    <t>Jan 1 to  Mar 31</t>
  </si>
  <si>
    <t>Present Value of Discrete Cash Flows</t>
  </si>
  <si>
    <t>Cost of Sales % revenue</t>
  </si>
  <si>
    <t>Operating expenses % revenue</t>
  </si>
  <si>
    <t>Cost of Equity</t>
  </si>
  <si>
    <t>Selected asset beta</t>
  </si>
  <si>
    <t xml:space="preserve">Debt to equity market value </t>
  </si>
  <si>
    <t xml:space="preserve">Expected income tax rate </t>
  </si>
  <si>
    <t>Re‑levered beta</t>
  </si>
  <si>
    <t>Market equity risk premium</t>
  </si>
  <si>
    <t>Company specific risk premium</t>
  </si>
  <si>
    <t>Cost of equity capital</t>
  </si>
  <si>
    <t>Expected income tax rate</t>
  </si>
  <si>
    <t>After-tax cost of debt</t>
  </si>
  <si>
    <t>Prime Borrworing Rate</t>
  </si>
  <si>
    <t>Risk-free rate</t>
  </si>
  <si>
    <t>Target Capital Structure</t>
  </si>
  <si>
    <t>Value</t>
  </si>
  <si>
    <t>Weighted average cost of capital</t>
  </si>
  <si>
    <t>Debt</t>
  </si>
  <si>
    <t>WACC</t>
  </si>
  <si>
    <t>WACC(Rounded)</t>
  </si>
  <si>
    <t>Recommended Fair Value</t>
  </si>
  <si>
    <t>After-tax return</t>
  </si>
  <si>
    <t>Weighted return</t>
  </si>
  <si>
    <t>Required Net WC</t>
  </si>
  <si>
    <t>PPE, Net</t>
  </si>
  <si>
    <t>Identified Intangible Assets</t>
  </si>
  <si>
    <t>Non-compete Agreement</t>
  </si>
  <si>
    <t>Total Identified Intangibles</t>
  </si>
  <si>
    <t>Fair Value (rounded)</t>
  </si>
  <si>
    <t>Cost of Debt</t>
  </si>
  <si>
    <t>Total remaining life (in years)</t>
  </si>
  <si>
    <t>Fair Value Developed Technology</t>
  </si>
  <si>
    <t>Decay rate</t>
  </si>
  <si>
    <t>Beginning of Year</t>
  </si>
  <si>
    <t>End of Year</t>
  </si>
  <si>
    <t>Average</t>
  </si>
  <si>
    <t>Revenue dependent on technology</t>
  </si>
  <si>
    <t>Developed technology revenue</t>
  </si>
  <si>
    <t>Less: Taxes</t>
  </si>
  <si>
    <t>Less: Contributory Asset Charges</t>
  </si>
  <si>
    <t>&lt;&lt;WARA</t>
  </si>
  <si>
    <t>&lt;&lt;WACC</t>
  </si>
  <si>
    <t>&lt;&lt;IRR</t>
  </si>
  <si>
    <t>(a)</t>
  </si>
  <si>
    <t>(b)</t>
  </si>
  <si>
    <t>(c)</t>
  </si>
  <si>
    <t>Size risk premium</t>
  </si>
  <si>
    <t>(d)</t>
  </si>
  <si>
    <t>Notes::</t>
  </si>
  <si>
    <t>Acquisition Holdings Ltd.</t>
  </si>
  <si>
    <t>WearOS Tech. Pvt. Ltd.</t>
  </si>
  <si>
    <t>for ASC 805 Purposes</t>
  </si>
  <si>
    <t>Signed By:</t>
  </si>
  <si>
    <t>Fair Value of Trade Name and Trademarks Calculation: MPEEM</t>
  </si>
  <si>
    <t>Balance Sheet</t>
  </si>
  <si>
    <t>Historical Balance Sheet</t>
  </si>
  <si>
    <t>Historical Income Statement</t>
  </si>
  <si>
    <t>Current Assets</t>
  </si>
  <si>
    <t>Cash and Cash Equivalents</t>
  </si>
  <si>
    <t>Accounts Receivable</t>
  </si>
  <si>
    <t>Prepaid Expenses and Other Current Assets</t>
  </si>
  <si>
    <t>Total Current Assets</t>
  </si>
  <si>
    <t>Long-Term Assets</t>
  </si>
  <si>
    <t>Other Assets</t>
  </si>
  <si>
    <t>Goodwill and Other Intangibles</t>
  </si>
  <si>
    <t>Total Long-Term Assets</t>
  </si>
  <si>
    <t>Total Assets</t>
  </si>
  <si>
    <t>Current Liabilities</t>
  </si>
  <si>
    <t>Current Portion of Long-term Debt</t>
  </si>
  <si>
    <t>Accounts Payable</t>
  </si>
  <si>
    <t>Other Current Liabilities</t>
  </si>
  <si>
    <t>Total Current Liabilities</t>
  </si>
  <si>
    <t>Non-Current Liabilities</t>
  </si>
  <si>
    <t>Long-Term Debt</t>
  </si>
  <si>
    <t>Other Long-Term Liabilities</t>
  </si>
  <si>
    <t>Total Non-Current Liabilities</t>
  </si>
  <si>
    <t>Total Liabilities</t>
  </si>
  <si>
    <t>Shareholders Equity</t>
  </si>
  <si>
    <t>Total Liabilities and Shareholders Equity</t>
  </si>
  <si>
    <t>Working Capital</t>
  </si>
  <si>
    <t>Cash-Free, Debt-Free Net Working Capital</t>
  </si>
  <si>
    <t>As of December 31,</t>
  </si>
  <si>
    <t>Cost of revenue</t>
  </si>
  <si>
    <t>Sales and marketing</t>
  </si>
  <si>
    <t>General and administrative</t>
  </si>
  <si>
    <t>Research and development</t>
  </si>
  <si>
    <t>Other operating expenses</t>
  </si>
  <si>
    <t>Projections for Years Ending 
December 31</t>
  </si>
  <si>
    <t>Changes in DFNWC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</si>
</sst>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i/>
      <sz val="9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212121"/>
      <name val="Arial"/>
      <family val="2"/>
    </font>
    <font>
      <b/>
      <i/>
      <u/>
      <sz val="10"/>
      <color rgb="FF212121"/>
      <name val="Arial"/>
      <family val="2"/>
    </font>
    <font>
      <i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u/>
      <sz val="10"/>
      <color rgb="FF000000"/>
      <name val="Arial"/>
      <family val="2"/>
    </font>
    <font>
      <b/>
      <i/>
      <sz val="10"/>
      <color rgb="FF0000FF"/>
      <name val="Arial"/>
      <family val="2"/>
    </font>
    <font>
      <b/>
      <i/>
      <sz val="10"/>
      <color rgb="FF000000"/>
      <name val="Arial"/>
      <family val="2"/>
    </font>
    <font>
      <b/>
      <sz val="10"/>
      <name val="Arial Narrow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sz val="9"/>
      <name val="Arial"/>
      <family val="2"/>
    </font>
    <font>
      <b/>
      <sz val="10"/>
      <color rgb="FF3949AB"/>
      <name val="Arial"/>
      <family val="2"/>
    </font>
    <font>
      <sz val="10"/>
      <color rgb="FF3949AB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949AB"/>
        <bgColor indexed="64"/>
      </patternFill>
    </fill>
    <fill>
      <patternFill patternType="solid">
        <fgColor rgb="FFD4F4F8"/>
        <bgColor indexed="64"/>
      </patternFill>
    </fill>
    <fill>
      <patternFill patternType="solid">
        <fgColor rgb="FFF2F2F2"/>
        <bgColor indexed="64"/>
      </patternFill>
    </fill>
  </fills>
  <borders count="77">
    <border>
      <left/>
      <right/>
      <top/>
      <bottom/>
      <diagonal/>
    </border>
    <border>
      <left style="dotted">
        <color rgb="FFB8B8B8"/>
      </left>
      <right/>
      <top style="dotted">
        <color rgb="FFB8B8B8"/>
      </top>
      <bottom/>
      <diagonal/>
    </border>
    <border>
      <left/>
      <right/>
      <top style="dotted">
        <color rgb="FFB8B8B8"/>
      </top>
      <bottom/>
      <diagonal/>
    </border>
    <border>
      <left/>
      <right style="medium">
        <color rgb="FFFFFFFF"/>
      </right>
      <top style="dotted">
        <color rgb="FFB8B8B8"/>
      </top>
      <bottom/>
      <diagonal/>
    </border>
    <border>
      <left style="medium">
        <color rgb="FFFFFFFF"/>
      </left>
      <right style="medium">
        <color rgb="FFFFFFFF"/>
      </right>
      <top style="dotted">
        <color rgb="FFB8B8B8"/>
      </top>
      <bottom/>
      <diagonal/>
    </border>
    <border>
      <left style="medium">
        <color rgb="FFFFFFFF"/>
      </left>
      <right/>
      <top style="dotted">
        <color rgb="FFB8B8B8"/>
      </top>
      <bottom/>
      <diagonal/>
    </border>
    <border>
      <left style="medium">
        <color rgb="FFFFFFFF"/>
      </left>
      <right style="dotted">
        <color rgb="FFB8B8B8"/>
      </right>
      <top style="dotted">
        <color rgb="FFB8B8B8"/>
      </top>
      <bottom/>
      <diagonal/>
    </border>
    <border>
      <left style="dotted">
        <color rgb="FFB8B8B8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dotted">
        <color rgb="FFB8B8B8"/>
      </right>
      <top/>
      <bottom style="medium">
        <color rgb="FFDDDDDD"/>
      </bottom>
      <diagonal/>
    </border>
    <border>
      <left style="dotted">
        <color rgb="FFB8B8B8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dotted">
        <color rgb="FFB8B8B8"/>
      </right>
      <top style="medium">
        <color rgb="FFDDDDDD"/>
      </top>
      <bottom style="medium">
        <color rgb="FFDDDDDD"/>
      </bottom>
      <diagonal/>
    </border>
    <border>
      <left style="dotted">
        <color rgb="FFB8B8B8"/>
      </left>
      <right/>
      <top style="medium">
        <color rgb="FFDDDDDD"/>
      </top>
      <bottom style="dotted">
        <color rgb="FFB8B8B8"/>
      </bottom>
      <diagonal/>
    </border>
    <border>
      <left/>
      <right/>
      <top style="medium">
        <color rgb="FFDDDDDD"/>
      </top>
      <bottom style="dotted">
        <color rgb="FFB8B8B8"/>
      </bottom>
      <diagonal/>
    </border>
    <border>
      <left/>
      <right style="dotted">
        <color rgb="FFB8B8B8"/>
      </right>
      <top style="medium">
        <color rgb="FFDDDDDD"/>
      </top>
      <bottom style="dotted">
        <color rgb="FFB8B8B8"/>
      </bottom>
      <diagonal/>
    </border>
    <border>
      <left/>
      <right style="dotted">
        <color rgb="FFB8B8B8"/>
      </right>
      <top style="dotted">
        <color rgb="FFB8B8B8"/>
      </top>
      <bottom/>
      <diagonal/>
    </border>
    <border>
      <left/>
      <right/>
      <top style="dotted">
        <color rgb="FFB8B8B8"/>
      </top>
      <bottom style="medium">
        <color rgb="FFDDDDDD"/>
      </bottom>
      <diagonal/>
    </border>
    <border>
      <left style="dotted">
        <color rgb="FFB8B8B8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dotted">
        <color rgb="FFB8B8B8"/>
      </right>
      <top style="medium">
        <color rgb="FFDDDDDD"/>
      </top>
      <bottom/>
      <diagonal/>
    </border>
    <border>
      <left style="dotted">
        <color rgb="FFB8B8B8"/>
      </left>
      <right/>
      <top/>
      <bottom/>
      <diagonal/>
    </border>
    <border>
      <left/>
      <right style="dotted">
        <color rgb="FFB8B8B8"/>
      </right>
      <top/>
      <bottom/>
      <diagonal/>
    </border>
    <border>
      <left style="dotted">
        <color rgb="FFB8B8B8"/>
      </left>
      <right/>
      <top style="dotted">
        <color rgb="FFB8B8B8"/>
      </top>
      <bottom style="dotted">
        <color rgb="FFB8B8B8"/>
      </bottom>
      <diagonal/>
    </border>
    <border>
      <left/>
      <right/>
      <top style="dotted">
        <color rgb="FFB8B8B8"/>
      </top>
      <bottom style="dotted">
        <color rgb="FFB8B8B8"/>
      </bottom>
      <diagonal/>
    </border>
    <border>
      <left/>
      <right style="dotted">
        <color rgb="FFB8B8B8"/>
      </right>
      <top style="dotted">
        <color rgb="FFB8B8B8"/>
      </top>
      <bottom style="dotted">
        <color rgb="FFB8B8B8"/>
      </bottom>
      <diagonal/>
    </border>
    <border>
      <left style="dotted">
        <color rgb="FFB8B8B8"/>
      </left>
      <right/>
      <top/>
      <bottom style="dotted">
        <color rgb="FFB8B8B8"/>
      </bottom>
      <diagonal/>
    </border>
    <border>
      <left/>
      <right/>
      <top/>
      <bottom style="dotted">
        <color rgb="FFB8B8B8"/>
      </bottom>
      <diagonal/>
    </border>
    <border>
      <left/>
      <right style="dotted">
        <color rgb="FFB8B8B8"/>
      </right>
      <top/>
      <bottom style="dotted">
        <color rgb="FFB8B8B8"/>
      </bottom>
      <diagonal/>
    </border>
    <border>
      <left style="medium">
        <color rgb="FFFFFFFF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rgb="FFDDDDDD"/>
      </right>
      <top style="medium">
        <color rgb="FFDDDDDD"/>
      </top>
      <bottom style="medium">
        <color rgb="FFDDDDDD"/>
      </bottom>
      <diagonal/>
    </border>
    <border>
      <left style="hair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hair">
        <color rgb="FFDDDDDD"/>
      </right>
      <top style="thin">
        <color rgb="FFDDDDDD"/>
      </top>
      <bottom style="thin">
        <color rgb="FFDDDDDD"/>
      </bottom>
      <diagonal/>
    </border>
    <border>
      <left style="hair">
        <color rgb="FFDDDDDD"/>
      </left>
      <right/>
      <top style="thin">
        <color rgb="FFDDDDDD"/>
      </top>
      <bottom style="hair">
        <color rgb="FFDDDDDD"/>
      </bottom>
      <diagonal/>
    </border>
    <border>
      <left/>
      <right/>
      <top style="thin">
        <color rgb="FFDDDDDD"/>
      </top>
      <bottom style="hair">
        <color rgb="FFDDDDDD"/>
      </bottom>
      <diagonal/>
    </border>
    <border>
      <left/>
      <right style="hair">
        <color rgb="FFDDDDDD"/>
      </right>
      <top style="thin">
        <color rgb="FFDDDDDD"/>
      </top>
      <bottom style="hair">
        <color rgb="FFDDDDDD"/>
      </bottom>
      <diagonal/>
    </border>
    <border>
      <left style="dotted">
        <color rgb="FFDDDDDD"/>
      </left>
      <right style="dotted">
        <color rgb="FFDDDDDD"/>
      </right>
      <top style="dotted">
        <color rgb="FFDDDDDD"/>
      </top>
      <bottom style="dotted">
        <color rgb="FFDDDDDD"/>
      </bottom>
      <diagonal/>
    </border>
    <border>
      <left style="dotted">
        <color rgb="FFDDDDDD"/>
      </left>
      <right/>
      <top style="dotted">
        <color rgb="FFDDDDDD"/>
      </top>
      <bottom style="thin">
        <color rgb="FFDDDDDD"/>
      </bottom>
      <diagonal/>
    </border>
    <border>
      <left/>
      <right/>
      <top style="dotted">
        <color rgb="FFDDDDDD"/>
      </top>
      <bottom style="thin">
        <color rgb="FFDDDDDD"/>
      </bottom>
      <diagonal/>
    </border>
    <border>
      <left/>
      <right style="dotted">
        <color rgb="FFDDDDDD"/>
      </right>
      <top style="dotted">
        <color rgb="FFDDDDDD"/>
      </top>
      <bottom style="thin">
        <color rgb="FFDDDDDD"/>
      </bottom>
      <diagonal/>
    </border>
    <border>
      <left style="dotted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dotted">
        <color rgb="FFDDDDDD"/>
      </right>
      <top style="thin">
        <color rgb="FFDDDDDD"/>
      </top>
      <bottom style="thin">
        <color rgb="FFDDDDDD"/>
      </bottom>
      <diagonal/>
    </border>
    <border>
      <left style="dotted">
        <color rgb="FFDDDDDD"/>
      </left>
      <right/>
      <top style="thin">
        <color rgb="FFDDDDDD"/>
      </top>
      <bottom style="dotted">
        <color rgb="FFDDDDDD"/>
      </bottom>
      <diagonal/>
    </border>
    <border>
      <left/>
      <right/>
      <top style="thin">
        <color rgb="FFDDDDDD"/>
      </top>
      <bottom style="dotted">
        <color rgb="FFDDDDDD"/>
      </bottom>
      <diagonal/>
    </border>
    <border>
      <left style="dotted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dotted">
        <color rgb="FFDDDDDD"/>
      </right>
      <top/>
      <bottom style="thin">
        <color rgb="FFDDDDDD"/>
      </bottom>
      <diagonal/>
    </border>
    <border>
      <left style="dotted">
        <color rgb="FFDDDDDD"/>
      </left>
      <right/>
      <top style="dotted">
        <color rgb="FFDDDDDD"/>
      </top>
      <bottom style="dotted">
        <color rgb="FFDDDDDD"/>
      </bottom>
      <diagonal/>
    </border>
    <border>
      <left/>
      <right/>
      <top style="dotted">
        <color rgb="FFDDDDDD"/>
      </top>
      <bottom style="dotted">
        <color rgb="FFDDDDDD"/>
      </bottom>
      <diagonal/>
    </border>
    <border>
      <left/>
      <right style="dotted">
        <color rgb="FFDDDDDD"/>
      </right>
      <top style="dotted">
        <color rgb="FFDDDDDD"/>
      </top>
      <bottom style="dotted">
        <color rgb="FFDDDDDD"/>
      </bottom>
      <diagonal/>
    </border>
    <border>
      <left style="hair">
        <color rgb="FFDDDDDD"/>
      </left>
      <right/>
      <top/>
      <bottom style="thin">
        <color rgb="FFDDDDDD"/>
      </bottom>
      <diagonal/>
    </border>
    <border>
      <left/>
      <right style="hair">
        <color rgb="FFDDDDDD"/>
      </right>
      <top/>
      <bottom style="thin">
        <color rgb="FFDDDDDD"/>
      </bottom>
      <diagonal/>
    </border>
    <border>
      <left style="dotted">
        <color rgb="FFB8B8B8"/>
      </left>
      <right/>
      <top style="dotted">
        <color rgb="FFB8B8B8"/>
      </top>
      <bottom style="thin">
        <color rgb="FFB8B8B8"/>
      </bottom>
      <diagonal/>
    </border>
    <border>
      <left/>
      <right/>
      <top style="dotted">
        <color rgb="FFB8B8B8"/>
      </top>
      <bottom style="thin">
        <color rgb="FFB8B8B8"/>
      </bottom>
      <diagonal/>
    </border>
    <border>
      <left/>
      <right style="dotted">
        <color rgb="FFB8B8B8"/>
      </right>
      <top style="dotted">
        <color rgb="FFB8B8B8"/>
      </top>
      <bottom style="thin">
        <color rgb="FFB8B8B8"/>
      </bottom>
      <diagonal/>
    </border>
    <border>
      <left style="dotted">
        <color rgb="FFB8B8B8"/>
      </left>
      <right/>
      <top style="thin">
        <color rgb="FFB8B8B8"/>
      </top>
      <bottom style="thin">
        <color rgb="FFB8B8B8"/>
      </bottom>
      <diagonal/>
    </border>
    <border>
      <left/>
      <right/>
      <top style="thin">
        <color rgb="FFB8B8B8"/>
      </top>
      <bottom style="thin">
        <color rgb="FFB8B8B8"/>
      </bottom>
      <diagonal/>
    </border>
    <border>
      <left/>
      <right style="dotted">
        <color rgb="FFB8B8B8"/>
      </right>
      <top style="thin">
        <color rgb="FFB8B8B8"/>
      </top>
      <bottom style="thin">
        <color rgb="FFB8B8B8"/>
      </bottom>
      <diagonal/>
    </border>
    <border>
      <left/>
      <right/>
      <top/>
      <bottom style="thin">
        <color rgb="FFB8B8B8"/>
      </bottom>
      <diagonal/>
    </border>
    <border>
      <left style="dotted">
        <color rgb="FFB8B8B8"/>
      </left>
      <right/>
      <top style="dotted">
        <color rgb="FFB8B8B8"/>
      </top>
      <bottom style="medium">
        <color rgb="FFB8B8B8"/>
      </bottom>
      <diagonal/>
    </border>
    <border>
      <left/>
      <right/>
      <top style="dotted">
        <color rgb="FFB8B8B8"/>
      </top>
      <bottom style="medium">
        <color rgb="FFB8B8B8"/>
      </bottom>
      <diagonal/>
    </border>
    <border>
      <left/>
      <right style="dotted">
        <color rgb="FFB8B8B8"/>
      </right>
      <top style="dotted">
        <color rgb="FFB8B8B8"/>
      </top>
      <bottom style="medium">
        <color rgb="FFB8B8B8"/>
      </bottom>
      <diagonal/>
    </border>
    <border>
      <left style="dotted">
        <color rgb="FFB8B8B8"/>
      </left>
      <right/>
      <top style="medium">
        <color rgb="FFB8B8B8"/>
      </top>
      <bottom style="medium">
        <color rgb="FFB8B8B8"/>
      </bottom>
      <diagonal/>
    </border>
    <border>
      <left/>
      <right/>
      <top style="medium">
        <color rgb="FFB8B8B8"/>
      </top>
      <bottom style="medium">
        <color rgb="FFB8B8B8"/>
      </bottom>
      <diagonal/>
    </border>
    <border>
      <left/>
      <right style="dotted">
        <color rgb="FFB8B8B8"/>
      </right>
      <top style="medium">
        <color rgb="FFB8B8B8"/>
      </top>
      <bottom style="medium">
        <color rgb="FFB8B8B8"/>
      </bottom>
      <diagonal/>
    </border>
    <border>
      <left style="dotted">
        <color rgb="FFB8B8B8"/>
      </left>
      <right/>
      <top style="medium">
        <color rgb="FFB8B8B8"/>
      </top>
      <bottom style="dotted">
        <color rgb="FFB8B8B8"/>
      </bottom>
      <diagonal/>
    </border>
    <border>
      <left/>
      <right/>
      <top style="medium">
        <color rgb="FFB8B8B8"/>
      </top>
      <bottom style="dotted">
        <color rgb="FFB8B8B8"/>
      </bottom>
      <diagonal/>
    </border>
    <border>
      <left/>
      <right style="dotted">
        <color rgb="FFB8B8B8"/>
      </right>
      <top style="medium">
        <color rgb="FFB8B8B8"/>
      </top>
      <bottom style="dotted">
        <color rgb="FFB8B8B8"/>
      </bottom>
      <diagonal/>
    </border>
    <border>
      <left style="dotted">
        <color rgb="FFB8B8B8"/>
      </left>
      <right/>
      <top style="medium">
        <color rgb="FFB8B8B8"/>
      </top>
      <bottom/>
      <diagonal/>
    </border>
    <border>
      <left/>
      <right/>
      <top style="medium">
        <color rgb="FFB8B8B8"/>
      </top>
      <bottom/>
      <diagonal/>
    </border>
    <border>
      <left/>
      <right style="dotted">
        <color rgb="FFB8B8B8"/>
      </right>
      <top style="medium">
        <color rgb="FFB8B8B8"/>
      </top>
      <bottom/>
      <diagonal/>
    </border>
    <border>
      <left style="dotted">
        <color rgb="FFB8B8B8"/>
      </left>
      <right/>
      <top style="dotted">
        <color rgb="FFB8B8B8"/>
      </top>
      <bottom style="medium">
        <color rgb="FFDDDDDD"/>
      </bottom>
      <diagonal/>
    </border>
    <border>
      <left/>
      <right style="dotted">
        <color rgb="FFB8B8B8"/>
      </right>
      <top style="dotted">
        <color rgb="FFB8B8B8"/>
      </top>
      <bottom style="medium">
        <color rgb="FFDDDDDD"/>
      </bottom>
      <diagonal/>
    </border>
    <border>
      <left/>
      <right style="dotted">
        <color rgb="FFDDDDDD"/>
      </right>
      <top style="dotted">
        <color rgb="FFB8B8B8"/>
      </top>
      <bottom style="medium">
        <color rgb="FFDDDDDD"/>
      </bottom>
      <diagonal/>
    </border>
    <border>
      <left style="dotted">
        <color rgb="FFDDDDDD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8" fillId="0" borderId="0">
      <alignment horizontal="left" vertical="top" wrapText="1"/>
    </xf>
  </cellStyleXfs>
  <cellXfs count="347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NumberFormat="1" applyFont="1"/>
    <xf numFmtId="0" fontId="10" fillId="0" borderId="0" xfId="0" applyFont="1"/>
    <xf numFmtId="0" fontId="11" fillId="0" borderId="13" xfId="0" applyFont="1" applyBorder="1" applyAlignment="1">
      <alignment horizontal="left" wrapText="1" readingOrder="1"/>
    </xf>
    <xf numFmtId="0" fontId="11" fillId="0" borderId="14" xfId="0" applyFont="1" applyBorder="1" applyAlignment="1">
      <alignment horizontal="left" wrapText="1" readingOrder="1"/>
    </xf>
    <xf numFmtId="0" fontId="11" fillId="0" borderId="10" xfId="0" applyFont="1" applyBorder="1" applyAlignment="1">
      <alignment horizontal="left" readingOrder="1"/>
    </xf>
    <xf numFmtId="0" fontId="14" fillId="0" borderId="0" xfId="0" applyFont="1"/>
    <xf numFmtId="0" fontId="11" fillId="0" borderId="0" xfId="0" applyFont="1" applyBorder="1" applyAlignment="1">
      <alignment horizontal="left" readingOrder="1"/>
    </xf>
    <xf numFmtId="0" fontId="11" fillId="0" borderId="0" xfId="0" applyFont="1" applyBorder="1" applyAlignment="1">
      <alignment horizontal="left" wrapText="1" readingOrder="1"/>
    </xf>
    <xf numFmtId="0" fontId="12" fillId="0" borderId="0" xfId="0" applyFont="1" applyBorder="1" applyAlignment="1">
      <alignment horizontal="right" wrapText="1" readingOrder="1"/>
    </xf>
    <xf numFmtId="14" fontId="12" fillId="0" borderId="0" xfId="0" applyNumberFormat="1" applyFont="1" applyBorder="1" applyAlignment="1">
      <alignment horizontal="right" wrapText="1" readingOrder="1"/>
    </xf>
    <xf numFmtId="0" fontId="13" fillId="0" borderId="0" xfId="0" applyFont="1" applyBorder="1" applyAlignment="1">
      <alignment horizontal="right" wrapText="1" readingOrder="1"/>
    </xf>
    <xf numFmtId="10" fontId="12" fillId="0" borderId="0" xfId="0" applyNumberFormat="1" applyFont="1" applyBorder="1" applyAlignment="1">
      <alignment horizontal="right" wrapText="1" readingOrder="1"/>
    </xf>
    <xf numFmtId="0" fontId="12" fillId="0" borderId="0" xfId="0" applyFont="1"/>
    <xf numFmtId="0" fontId="3" fillId="0" borderId="0" xfId="0" applyFont="1" applyAlignment="1">
      <alignment horizontal="center"/>
    </xf>
    <xf numFmtId="0" fontId="16" fillId="2" borderId="6" xfId="0" applyFont="1" applyFill="1" applyBorder="1" applyAlignment="1">
      <alignment horizontal="center" wrapText="1" readingOrder="1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6" fillId="2" borderId="6" xfId="0" applyFont="1" applyFill="1" applyBorder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17" fillId="0" borderId="0" xfId="0" applyFont="1"/>
    <xf numFmtId="0" fontId="18" fillId="2" borderId="2" xfId="0" applyFont="1" applyFill="1" applyBorder="1" applyAlignment="1">
      <alignment horizontal="center" readingOrder="1"/>
    </xf>
    <xf numFmtId="0" fontId="16" fillId="2" borderId="1" xfId="0" applyFont="1" applyFill="1" applyBorder="1" applyAlignment="1">
      <alignment readingOrder="1"/>
    </xf>
    <xf numFmtId="0" fontId="16" fillId="2" borderId="2" xfId="0" applyFont="1" applyFill="1" applyBorder="1" applyAlignment="1">
      <alignment readingOrder="1"/>
    </xf>
    <xf numFmtId="0" fontId="0" fillId="0" borderId="0" xfId="0" applyAlignment="1">
      <alignment horizontal="right"/>
    </xf>
    <xf numFmtId="0" fontId="16" fillId="2" borderId="2" xfId="0" applyFont="1" applyFill="1" applyBorder="1" applyAlignment="1">
      <alignment horizontal="right" vertical="center" readingOrder="1"/>
    </xf>
    <xf numFmtId="0" fontId="16" fillId="2" borderId="16" xfId="0" applyFont="1" applyFill="1" applyBorder="1" applyAlignment="1">
      <alignment horizontal="right" vertical="center" readingOrder="1"/>
    </xf>
    <xf numFmtId="0" fontId="11" fillId="3" borderId="8" xfId="0" applyFont="1" applyFill="1" applyBorder="1" applyAlignment="1">
      <alignment horizontal="center" wrapText="1" readingOrder="1"/>
    </xf>
    <xf numFmtId="0" fontId="11" fillId="3" borderId="8" xfId="0" applyFont="1" applyFill="1" applyBorder="1" applyAlignment="1">
      <alignment horizontal="right" wrapText="1" readingOrder="1"/>
    </xf>
    <xf numFmtId="0" fontId="11" fillId="3" borderId="9" xfId="0" applyFont="1" applyFill="1" applyBorder="1" applyAlignment="1">
      <alignment horizontal="right" wrapText="1" readingOrder="1"/>
    </xf>
    <xf numFmtId="0" fontId="11" fillId="0" borderId="14" xfId="0" applyFont="1" applyBorder="1" applyAlignment="1">
      <alignment horizontal="center" wrapText="1" readingOrder="1"/>
    </xf>
    <xf numFmtId="3" fontId="11" fillId="0" borderId="14" xfId="0" applyNumberFormat="1" applyFont="1" applyBorder="1" applyAlignment="1">
      <alignment horizontal="right" wrapText="1" readingOrder="1"/>
    </xf>
    <xf numFmtId="10" fontId="11" fillId="0" borderId="15" xfId="0" applyNumberFormat="1" applyFont="1" applyBorder="1" applyAlignment="1">
      <alignment horizontal="right" wrapText="1" readingOrder="1"/>
    </xf>
    <xf numFmtId="0" fontId="11" fillId="0" borderId="1" xfId="0" applyFont="1" applyBorder="1" applyAlignment="1">
      <alignment horizontal="left" wrapText="1" readingOrder="1"/>
    </xf>
    <xf numFmtId="0" fontId="11" fillId="0" borderId="2" xfId="0" applyFont="1" applyBorder="1" applyAlignment="1">
      <alignment horizontal="center" wrapText="1" readingOrder="1"/>
    </xf>
    <xf numFmtId="10" fontId="11" fillId="0" borderId="16" xfId="0" applyNumberFormat="1" applyFont="1" applyBorder="1" applyAlignment="1">
      <alignment horizontal="right" wrapText="1" readingOrder="1"/>
    </xf>
    <xf numFmtId="0" fontId="19" fillId="4" borderId="24" xfId="0" applyFont="1" applyFill="1" applyBorder="1" applyAlignment="1">
      <alignment horizontal="center" wrapText="1" readingOrder="1"/>
    </xf>
    <xf numFmtId="3" fontId="19" fillId="4" borderId="24" xfId="0" applyNumberFormat="1" applyFont="1" applyFill="1" applyBorder="1" applyAlignment="1">
      <alignment horizontal="right" wrapText="1" readingOrder="1"/>
    </xf>
    <xf numFmtId="10" fontId="19" fillId="4" borderId="25" xfId="0" applyNumberFormat="1" applyFont="1" applyFill="1" applyBorder="1" applyAlignment="1">
      <alignment horizontal="right" wrapText="1" readingOrder="1"/>
    </xf>
    <xf numFmtId="0" fontId="19" fillId="0" borderId="17" xfId="0" applyFont="1" applyBorder="1" applyAlignment="1">
      <alignment horizontal="left" wrapText="1" readingOrder="1"/>
    </xf>
    <xf numFmtId="0" fontId="11" fillId="0" borderId="17" xfId="0" applyFont="1" applyBorder="1" applyAlignment="1">
      <alignment horizontal="center" wrapText="1" readingOrder="1"/>
    </xf>
    <xf numFmtId="0" fontId="11" fillId="0" borderId="17" xfId="0" applyFont="1" applyBorder="1" applyAlignment="1">
      <alignment horizontal="right" wrapText="1" readingOrder="1"/>
    </xf>
    <xf numFmtId="0" fontId="11" fillId="3" borderId="11" xfId="0" applyFont="1" applyFill="1" applyBorder="1" applyAlignment="1">
      <alignment horizontal="center" wrapText="1" readingOrder="1"/>
    </xf>
    <xf numFmtId="0" fontId="11" fillId="3" borderId="11" xfId="0" applyFont="1" applyFill="1" applyBorder="1" applyAlignment="1">
      <alignment horizontal="right" wrapText="1" readingOrder="1"/>
    </xf>
    <xf numFmtId="0" fontId="11" fillId="3" borderId="12" xfId="0" applyFont="1" applyFill="1" applyBorder="1" applyAlignment="1">
      <alignment horizontal="right" wrapText="1" readingOrder="1"/>
    </xf>
    <xf numFmtId="0" fontId="11" fillId="0" borderId="23" xfId="0" applyFont="1" applyBorder="1" applyAlignment="1">
      <alignment horizontal="left" wrapText="1" readingOrder="1"/>
    </xf>
    <xf numFmtId="0" fontId="11" fillId="0" borderId="24" xfId="0" applyFont="1" applyBorder="1" applyAlignment="1">
      <alignment horizontal="right" wrapText="1" readingOrder="1"/>
    </xf>
    <xf numFmtId="10" fontId="11" fillId="0" borderId="25" xfId="0" applyNumberFormat="1" applyFont="1" applyBorder="1" applyAlignment="1">
      <alignment horizontal="right" wrapText="1" readingOrder="1"/>
    </xf>
    <xf numFmtId="0" fontId="11" fillId="0" borderId="24" xfId="0" applyFont="1" applyBorder="1" applyAlignment="1">
      <alignment horizontal="left" wrapText="1" readingOrder="1"/>
    </xf>
    <xf numFmtId="0" fontId="11" fillId="0" borderId="24" xfId="0" applyFont="1" applyBorder="1" applyAlignment="1">
      <alignment horizontal="center" wrapText="1" readingOrder="1"/>
    </xf>
    <xf numFmtId="0" fontId="19" fillId="0" borderId="2" xfId="0" applyFont="1" applyBorder="1" applyAlignment="1">
      <alignment horizontal="center" wrapText="1" readingOrder="1"/>
    </xf>
    <xf numFmtId="0" fontId="19" fillId="0" borderId="2" xfId="0" applyFont="1" applyBorder="1" applyAlignment="1">
      <alignment horizontal="right" wrapText="1" readingOrder="1"/>
    </xf>
    <xf numFmtId="10" fontId="19" fillId="0" borderId="16" xfId="0" applyNumberFormat="1" applyFont="1" applyBorder="1" applyAlignment="1">
      <alignment horizontal="right" wrapText="1" readingOrder="1"/>
    </xf>
    <xf numFmtId="0" fontId="19" fillId="0" borderId="23" xfId="0" applyFont="1" applyBorder="1" applyAlignment="1">
      <alignment horizontal="left" wrapText="1" readingOrder="1"/>
    </xf>
    <xf numFmtId="0" fontId="19" fillId="0" borderId="1" xfId="0" applyFont="1" applyBorder="1" applyAlignment="1">
      <alignment horizontal="left" wrapText="1" readingOrder="1"/>
    </xf>
    <xf numFmtId="0" fontId="11" fillId="0" borderId="25" xfId="0" applyFont="1" applyBorder="1" applyAlignment="1">
      <alignment horizontal="right" wrapText="1" readingOrder="1"/>
    </xf>
    <xf numFmtId="0" fontId="19" fillId="0" borderId="21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center" wrapText="1" readingOrder="1"/>
    </xf>
    <xf numFmtId="3" fontId="11" fillId="0" borderId="0" xfId="0" applyNumberFormat="1" applyFont="1" applyBorder="1" applyAlignment="1">
      <alignment horizontal="right" wrapText="1" readingOrder="1"/>
    </xf>
    <xf numFmtId="10" fontId="11" fillId="0" borderId="22" xfId="0" applyNumberFormat="1" applyFont="1" applyBorder="1" applyAlignment="1">
      <alignment horizontal="right" wrapText="1" readingOrder="1"/>
    </xf>
    <xf numFmtId="0" fontId="19" fillId="3" borderId="7" xfId="0" applyFont="1" applyFill="1" applyBorder="1" applyAlignment="1">
      <alignment horizontal="left" wrapText="1" readingOrder="1"/>
    </xf>
    <xf numFmtId="0" fontId="19" fillId="3" borderId="8" xfId="0" applyFont="1" applyFill="1" applyBorder="1" applyAlignment="1">
      <alignment horizontal="left" wrapText="1" readingOrder="1"/>
    </xf>
    <xf numFmtId="0" fontId="19" fillId="4" borderId="23" xfId="0" applyFont="1" applyFill="1" applyBorder="1" applyAlignment="1">
      <alignment horizontal="left" wrapText="1" readingOrder="1"/>
    </xf>
    <xf numFmtId="0" fontId="19" fillId="4" borderId="24" xfId="0" applyFont="1" applyFill="1" applyBorder="1" applyAlignment="1">
      <alignment horizontal="left" wrapText="1" readingOrder="1"/>
    </xf>
    <xf numFmtId="0" fontId="19" fillId="3" borderId="10" xfId="0" applyFont="1" applyFill="1" applyBorder="1" applyAlignment="1">
      <alignment horizontal="left" wrapText="1" readingOrder="1"/>
    </xf>
    <xf numFmtId="0" fontId="11" fillId="0" borderId="14" xfId="0" applyFont="1" applyBorder="1" applyAlignment="1">
      <alignment horizontal="left" readingOrder="1"/>
    </xf>
    <xf numFmtId="0" fontId="11" fillId="0" borderId="2" xfId="0" applyFont="1" applyBorder="1" applyAlignment="1">
      <alignment horizontal="left" readingOrder="1"/>
    </xf>
    <xf numFmtId="0" fontId="19" fillId="4" borderId="24" xfId="0" applyFont="1" applyFill="1" applyBorder="1" applyAlignment="1">
      <alignment horizontal="left" readingOrder="1"/>
    </xf>
    <xf numFmtId="0" fontId="11" fillId="0" borderId="17" xfId="0" applyFont="1" applyBorder="1" applyAlignment="1">
      <alignment horizontal="left" readingOrder="1"/>
    </xf>
    <xf numFmtId="0" fontId="19" fillId="3" borderId="11" xfId="0" applyFont="1" applyFill="1" applyBorder="1" applyAlignment="1">
      <alignment horizontal="left" readingOrder="1"/>
    </xf>
    <xf numFmtId="0" fontId="11" fillId="0" borderId="24" xfId="0" applyFont="1" applyBorder="1" applyAlignment="1">
      <alignment horizontal="left" readingOrder="1"/>
    </xf>
    <xf numFmtId="0" fontId="19" fillId="0" borderId="2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16" fillId="2" borderId="16" xfId="0" applyFont="1" applyFill="1" applyBorder="1" applyAlignment="1">
      <alignment horizontal="right" vertical="center" wrapText="1" readingOrder="1"/>
    </xf>
    <xf numFmtId="0" fontId="16" fillId="2" borderId="23" xfId="0" applyFont="1" applyFill="1" applyBorder="1" applyAlignment="1">
      <alignment readingOrder="1"/>
    </xf>
    <xf numFmtId="0" fontId="16" fillId="2" borderId="24" xfId="0" applyFont="1" applyFill="1" applyBorder="1" applyAlignment="1">
      <alignment readingOrder="1"/>
    </xf>
    <xf numFmtId="0" fontId="4" fillId="0" borderId="24" xfId="0" applyFont="1" applyBorder="1"/>
    <xf numFmtId="0" fontId="4" fillId="0" borderId="23" xfId="0" applyFont="1" applyBorder="1"/>
    <xf numFmtId="0" fontId="16" fillId="2" borderId="26" xfId="0" applyFont="1" applyFill="1" applyBorder="1" applyAlignment="1">
      <alignment readingOrder="1"/>
    </xf>
    <xf numFmtId="0" fontId="16" fillId="2" borderId="27" xfId="0" applyFont="1" applyFill="1" applyBorder="1" applyAlignment="1">
      <alignment readingOrder="1"/>
    </xf>
    <xf numFmtId="0" fontId="16" fillId="2" borderId="27" xfId="0" applyFont="1" applyFill="1" applyBorder="1" applyAlignment="1">
      <alignment horizontal="right" vertical="center" readingOrder="1"/>
    </xf>
    <xf numFmtId="0" fontId="16" fillId="2" borderId="28" xfId="0" applyFont="1" applyFill="1" applyBorder="1" applyAlignment="1">
      <alignment horizontal="right" vertical="center" readingOrder="1"/>
    </xf>
    <xf numFmtId="0" fontId="16" fillId="2" borderId="25" xfId="0" applyFont="1" applyFill="1" applyBorder="1" applyAlignment="1">
      <alignment readingOrder="1"/>
    </xf>
    <xf numFmtId="0" fontId="12" fillId="0" borderId="24" xfId="0" applyFont="1" applyBorder="1" applyAlignment="1">
      <alignment horizontal="right"/>
    </xf>
    <xf numFmtId="164" fontId="4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164" fontId="4" fillId="0" borderId="25" xfId="0" applyNumberFormat="1" applyFont="1" applyBorder="1"/>
    <xf numFmtId="0" fontId="16" fillId="2" borderId="2" xfId="0" applyFont="1" applyFill="1" applyBorder="1" applyAlignment="1">
      <alignment horizontal="centerContinuous" vertical="center" readingOrder="1"/>
    </xf>
    <xf numFmtId="164" fontId="13" fillId="0" borderId="25" xfId="0" applyNumberFormat="1" applyFont="1" applyBorder="1"/>
    <xf numFmtId="3" fontId="4" fillId="0" borderId="0" xfId="0" applyNumberFormat="1" applyFont="1"/>
    <xf numFmtId="0" fontId="16" fillId="2" borderId="4" xfId="0" applyFont="1" applyFill="1" applyBorder="1" applyAlignment="1">
      <alignment horizontal="center" wrapText="1" readingOrder="1"/>
    </xf>
    <xf numFmtId="0" fontId="16" fillId="2" borderId="2" xfId="0" applyFont="1" applyFill="1" applyBorder="1" applyAlignment="1">
      <alignment horizontal="center" wrapText="1" readingOrder="1"/>
    </xf>
    <xf numFmtId="0" fontId="13" fillId="3" borderId="7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left" wrapText="1" readingOrder="1"/>
    </xf>
    <xf numFmtId="0" fontId="21" fillId="3" borderId="8" xfId="0" applyFont="1" applyFill="1" applyBorder="1" applyAlignment="1">
      <alignment horizontal="left" wrapText="1" readingOrder="1"/>
    </xf>
    <xf numFmtId="0" fontId="20" fillId="3" borderId="8" xfId="0" applyFont="1" applyFill="1" applyBorder="1" applyAlignment="1">
      <alignment horizontal="center" wrapText="1" readingOrder="1"/>
    </xf>
    <xf numFmtId="0" fontId="13" fillId="3" borderId="9" xfId="0" applyFont="1" applyFill="1" applyBorder="1" applyAlignment="1">
      <alignment horizontal="right" vertical="center" wrapText="1"/>
    </xf>
    <xf numFmtId="0" fontId="23" fillId="0" borderId="0" xfId="0" applyFont="1"/>
    <xf numFmtId="3" fontId="11" fillId="0" borderId="12" xfId="0" applyNumberFormat="1" applyFont="1" applyBorder="1" applyAlignment="1">
      <alignment horizontal="right" readingOrder="1"/>
    </xf>
    <xf numFmtId="0" fontId="11" fillId="0" borderId="11" xfId="0" applyFont="1" applyBorder="1" applyAlignment="1">
      <alignment horizontal="left" readingOrder="1"/>
    </xf>
    <xf numFmtId="3" fontId="11" fillId="0" borderId="11" xfId="0" applyNumberFormat="1" applyFont="1" applyBorder="1" applyAlignment="1">
      <alignment horizontal="right" readingOrder="1"/>
    </xf>
    <xf numFmtId="0" fontId="22" fillId="0" borderId="11" xfId="0" applyFont="1" applyBorder="1" applyAlignment="1">
      <alignment horizontal="left" readingOrder="1"/>
    </xf>
    <xf numFmtId="10" fontId="22" fillId="0" borderId="11" xfId="0" applyNumberFormat="1" applyFont="1" applyBorder="1" applyAlignment="1">
      <alignment horizontal="right" readingOrder="1"/>
    </xf>
    <xf numFmtId="0" fontId="11" fillId="0" borderId="11" xfId="0" applyFont="1" applyBorder="1" applyAlignment="1">
      <alignment horizontal="right" readingOrder="1"/>
    </xf>
    <xf numFmtId="0" fontId="11" fillId="0" borderId="12" xfId="0" applyFont="1" applyBorder="1" applyAlignment="1">
      <alignment horizontal="right" readingOrder="1"/>
    </xf>
    <xf numFmtId="0" fontId="12" fillId="4" borderId="11" xfId="0" applyFont="1" applyFill="1" applyBorder="1" applyAlignment="1">
      <alignment horizontal="left" readingOrder="1"/>
    </xf>
    <xf numFmtId="0" fontId="19" fillId="0" borderId="10" xfId="0" applyFont="1" applyBorder="1" applyAlignment="1">
      <alignment horizontal="left" readingOrder="1"/>
    </xf>
    <xf numFmtId="0" fontId="12" fillId="0" borderId="11" xfId="0" applyFont="1" applyBorder="1" applyAlignment="1">
      <alignment horizontal="left" readingOrder="1"/>
    </xf>
    <xf numFmtId="165" fontId="11" fillId="0" borderId="11" xfId="0" applyNumberFormat="1" applyFont="1" applyBorder="1" applyAlignment="1">
      <alignment horizontal="right" readingOrder="1"/>
    </xf>
    <xf numFmtId="0" fontId="12" fillId="4" borderId="14" xfId="0" applyFont="1" applyFill="1" applyBorder="1" applyAlignment="1">
      <alignment horizontal="left" readingOrder="1"/>
    </xf>
    <xf numFmtId="0" fontId="11" fillId="4" borderId="14" xfId="0" applyFont="1" applyFill="1" applyBorder="1" applyAlignment="1">
      <alignment horizontal="left" readingOrder="1"/>
    </xf>
    <xf numFmtId="0" fontId="11" fillId="0" borderId="10" xfId="0" applyFont="1" applyBorder="1" applyAlignment="1">
      <alignment readingOrder="1"/>
    </xf>
    <xf numFmtId="0" fontId="11" fillId="0" borderId="11" xfId="0" applyFont="1" applyBorder="1" applyAlignment="1">
      <alignment readingOrder="1"/>
    </xf>
    <xf numFmtId="0" fontId="19" fillId="4" borderId="10" xfId="0" applyFont="1" applyFill="1" applyBorder="1" applyAlignment="1">
      <alignment readingOrder="1"/>
    </xf>
    <xf numFmtId="0" fontId="19" fillId="4" borderId="11" xfId="0" applyFont="1" applyFill="1" applyBorder="1" applyAlignment="1">
      <alignment readingOrder="1"/>
    </xf>
    <xf numFmtId="0" fontId="19" fillId="4" borderId="13" xfId="0" applyFont="1" applyFill="1" applyBorder="1" applyAlignment="1">
      <alignment readingOrder="1"/>
    </xf>
    <xf numFmtId="0" fontId="19" fillId="4" borderId="14" xfId="0" applyFont="1" applyFill="1" applyBorder="1" applyAlignment="1">
      <alignment readingOrder="1"/>
    </xf>
    <xf numFmtId="10" fontId="22" fillId="0" borderId="12" xfId="0" applyNumberFormat="1" applyFont="1" applyBorder="1" applyAlignment="1">
      <alignment horizontal="right" readingOrder="1"/>
    </xf>
    <xf numFmtId="1" fontId="19" fillId="4" borderId="12" xfId="0" applyNumberFormat="1" applyFont="1" applyFill="1" applyBorder="1" applyAlignment="1">
      <alignment horizontal="right" readingOrder="1"/>
    </xf>
    <xf numFmtId="3" fontId="19" fillId="4" borderId="11" xfId="0" applyNumberFormat="1" applyFont="1" applyFill="1" applyBorder="1" applyAlignment="1">
      <alignment horizontal="right" readingOrder="1"/>
    </xf>
    <xf numFmtId="3" fontId="19" fillId="4" borderId="14" xfId="0" applyNumberFormat="1" applyFont="1" applyFill="1" applyBorder="1" applyAlignment="1">
      <alignment horizontal="right" readingOrder="1"/>
    </xf>
    <xf numFmtId="1" fontId="4" fillId="0" borderId="0" xfId="0" applyNumberFormat="1" applyFont="1"/>
    <xf numFmtId="0" fontId="5" fillId="0" borderId="30" xfId="0" applyFont="1" applyBorder="1"/>
    <xf numFmtId="3" fontId="5" fillId="0" borderId="30" xfId="0" applyNumberFormat="1" applyFont="1" applyBorder="1"/>
    <xf numFmtId="164" fontId="4" fillId="0" borderId="0" xfId="1" applyNumberFormat="1" applyFont="1"/>
    <xf numFmtId="164" fontId="22" fillId="0" borderId="11" xfId="0" applyNumberFormat="1" applyFont="1" applyBorder="1" applyAlignment="1">
      <alignment horizontal="right" readingOrder="1"/>
    </xf>
    <xf numFmtId="164" fontId="14" fillId="0" borderId="11" xfId="0" applyNumberFormat="1" applyFont="1" applyBorder="1" applyAlignment="1">
      <alignment horizontal="right" readingOrder="1"/>
    </xf>
    <xf numFmtId="166" fontId="20" fillId="3" borderId="8" xfId="0" applyNumberFormat="1" applyFont="1" applyFill="1" applyBorder="1" applyAlignment="1">
      <alignment horizontal="right" wrapText="1" readingOrder="1"/>
    </xf>
    <xf numFmtId="0" fontId="19" fillId="0" borderId="10" xfId="0" applyFont="1" applyBorder="1" applyAlignment="1">
      <alignment readingOrder="1"/>
    </xf>
    <xf numFmtId="0" fontId="19" fillId="0" borderId="11" xfId="0" applyFont="1" applyBorder="1" applyAlignment="1">
      <alignment readingOrder="1"/>
    </xf>
    <xf numFmtId="0" fontId="19" fillId="0" borderId="11" xfId="0" applyFont="1" applyBorder="1" applyAlignment="1">
      <alignment horizontal="left" readingOrder="1"/>
    </xf>
    <xf numFmtId="3" fontId="19" fillId="0" borderId="11" xfId="0" applyNumberFormat="1" applyFont="1" applyBorder="1" applyAlignment="1">
      <alignment horizontal="right" readingOrder="1"/>
    </xf>
    <xf numFmtId="0" fontId="24" fillId="0" borderId="11" xfId="0" applyFont="1" applyBorder="1" applyAlignment="1">
      <alignment horizontal="left" readingOrder="1"/>
    </xf>
    <xf numFmtId="3" fontId="19" fillId="0" borderId="19" xfId="0" applyNumberFormat="1" applyFont="1" applyBorder="1" applyAlignment="1">
      <alignment horizontal="right" readingOrder="1"/>
    </xf>
    <xf numFmtId="0" fontId="11" fillId="0" borderId="0" xfId="0" applyFont="1" applyBorder="1" applyAlignment="1">
      <alignment horizontal="right" readingOrder="1"/>
    </xf>
    <xf numFmtId="3" fontId="11" fillId="0" borderId="31" xfId="0" applyNumberFormat="1" applyFont="1" applyBorder="1" applyAlignment="1">
      <alignment horizontal="right" readingOrder="1"/>
    </xf>
    <xf numFmtId="3" fontId="19" fillId="0" borderId="31" xfId="0" applyNumberFormat="1" applyFont="1" applyBorder="1" applyAlignment="1">
      <alignment horizontal="right" readingOrder="1"/>
    </xf>
    <xf numFmtId="165" fontId="11" fillId="0" borderId="12" xfId="0" applyNumberFormat="1" applyFont="1" applyBorder="1" applyAlignment="1">
      <alignment horizontal="right" readingOrder="1"/>
    </xf>
    <xf numFmtId="3" fontId="19" fillId="4" borderId="15" xfId="0" applyNumberFormat="1" applyFont="1" applyFill="1" applyBorder="1" applyAlignment="1">
      <alignment horizontal="right" readingOrder="1"/>
    </xf>
    <xf numFmtId="164" fontId="4" fillId="0" borderId="0" xfId="1" applyNumberFormat="1" applyFont="1" applyBorder="1"/>
    <xf numFmtId="3" fontId="12" fillId="0" borderId="11" xfId="0" applyNumberFormat="1" applyFont="1" applyBorder="1" applyAlignment="1">
      <alignment horizontal="right" readingOrder="1"/>
    </xf>
    <xf numFmtId="0" fontId="25" fillId="0" borderId="10" xfId="0" applyFont="1" applyBorder="1" applyAlignment="1">
      <alignment readingOrder="1"/>
    </xf>
    <xf numFmtId="0" fontId="25" fillId="0" borderId="7" xfId="0" applyFont="1" applyBorder="1" applyAlignment="1">
      <alignment readingOrder="1"/>
    </xf>
    <xf numFmtId="0" fontId="11" fillId="0" borderId="8" xfId="0" applyFont="1" applyBorder="1" applyAlignment="1">
      <alignment readingOrder="1"/>
    </xf>
    <xf numFmtId="3" fontId="11" fillId="0" borderId="8" xfId="0" applyNumberFormat="1" applyFont="1" applyBorder="1" applyAlignment="1">
      <alignment horizontal="right" readingOrder="1"/>
    </xf>
    <xf numFmtId="0" fontId="11" fillId="0" borderId="18" xfId="0" applyFont="1" applyBorder="1" applyAlignment="1">
      <alignment readingOrder="1"/>
    </xf>
    <xf numFmtId="166" fontId="20" fillId="3" borderId="9" xfId="0" applyNumberFormat="1" applyFont="1" applyFill="1" applyBorder="1" applyAlignment="1">
      <alignment horizontal="right" wrapText="1" readingOrder="1"/>
    </xf>
    <xf numFmtId="3" fontId="19" fillId="0" borderId="12" xfId="0" applyNumberFormat="1" applyFont="1" applyBorder="1" applyAlignment="1">
      <alignment horizontal="right" readingOrder="1"/>
    </xf>
    <xf numFmtId="164" fontId="12" fillId="0" borderId="31" xfId="0" applyNumberFormat="1" applyFont="1" applyBorder="1" applyAlignment="1">
      <alignment horizontal="right" readingOrder="1"/>
    </xf>
    <xf numFmtId="0" fontId="16" fillId="2" borderId="2" xfId="0" applyFont="1" applyFill="1" applyBorder="1" applyAlignment="1">
      <alignment wrapText="1" readingOrder="1"/>
    </xf>
    <xf numFmtId="166" fontId="16" fillId="2" borderId="23" xfId="0" applyNumberFormat="1" applyFont="1" applyFill="1" applyBorder="1" applyAlignment="1">
      <alignment horizontal="left" vertical="center" readingOrder="1"/>
    </xf>
    <xf numFmtId="166" fontId="16" fillId="2" borderId="24" xfId="0" applyNumberFormat="1" applyFont="1" applyFill="1" applyBorder="1" applyAlignment="1">
      <alignment horizontal="right" vertical="center" readingOrder="1"/>
    </xf>
    <xf numFmtId="166" fontId="16" fillId="2" borderId="25" xfId="0" applyNumberFormat="1" applyFont="1" applyFill="1" applyBorder="1" applyAlignment="1">
      <alignment horizontal="right" vertical="center" readingOrder="1"/>
    </xf>
    <xf numFmtId="164" fontId="22" fillId="0" borderId="12" xfId="0" applyNumberFormat="1" applyFont="1" applyBorder="1" applyAlignment="1">
      <alignment horizontal="right" readingOrder="1"/>
    </xf>
    <xf numFmtId="164" fontId="12" fillId="0" borderId="24" xfId="0" applyNumberFormat="1" applyFont="1" applyBorder="1" applyAlignment="1">
      <alignment horizontal="left" indent="1"/>
    </xf>
    <xf numFmtId="10" fontId="22" fillId="0" borderId="19" xfId="0" applyNumberFormat="1" applyFont="1" applyBorder="1" applyAlignment="1">
      <alignment horizontal="right" readingOrder="1"/>
    </xf>
    <xf numFmtId="164" fontId="22" fillId="0" borderId="19" xfId="0" applyNumberFormat="1" applyFont="1" applyBorder="1" applyAlignment="1">
      <alignment horizontal="right" readingOrder="1"/>
    </xf>
    <xf numFmtId="165" fontId="11" fillId="0" borderId="19" xfId="0" applyNumberFormat="1" applyFont="1" applyBorder="1" applyAlignment="1">
      <alignment horizontal="right" readingOrder="1"/>
    </xf>
    <xf numFmtId="165" fontId="11" fillId="0" borderId="20" xfId="0" applyNumberFormat="1" applyFont="1" applyBorder="1" applyAlignment="1">
      <alignment horizontal="right" readingOrder="1"/>
    </xf>
    <xf numFmtId="0" fontId="24" fillId="0" borderId="8" xfId="0" applyFont="1" applyBorder="1" applyAlignment="1">
      <alignment horizontal="left" readingOrder="1"/>
    </xf>
    <xf numFmtId="3" fontId="19" fillId="0" borderId="8" xfId="0" applyNumberFormat="1" applyFont="1" applyBorder="1" applyAlignment="1">
      <alignment horizontal="right" readingOrder="1"/>
    </xf>
    <xf numFmtId="3" fontId="19" fillId="0" borderId="9" xfId="0" applyNumberFormat="1" applyFont="1" applyBorder="1" applyAlignment="1">
      <alignment horizontal="right" readingOrder="1"/>
    </xf>
    <xf numFmtId="3" fontId="12" fillId="0" borderId="14" xfId="0" applyNumberFormat="1" applyFont="1" applyBorder="1" applyAlignment="1">
      <alignment horizontal="right" wrapText="1" readingOrder="1"/>
    </xf>
    <xf numFmtId="0" fontId="12" fillId="0" borderId="2" xfId="0" applyFont="1" applyBorder="1" applyAlignment="1">
      <alignment horizontal="right" wrapText="1" readingOrder="1"/>
    </xf>
    <xf numFmtId="0" fontId="12" fillId="0" borderId="14" xfId="0" applyFont="1" applyBorder="1" applyAlignment="1">
      <alignment horizontal="right" wrapText="1" readingOrder="1"/>
    </xf>
    <xf numFmtId="0" fontId="12" fillId="0" borderId="24" xfId="0" applyFont="1" applyBorder="1" applyAlignment="1">
      <alignment horizontal="right" wrapText="1" readingOrder="1"/>
    </xf>
    <xf numFmtId="3" fontId="11" fillId="0" borderId="24" xfId="0" applyNumberFormat="1" applyFont="1" applyBorder="1" applyAlignment="1">
      <alignment horizontal="right" wrapText="1" readingOrder="1"/>
    </xf>
    <xf numFmtId="0" fontId="19" fillId="0" borderId="19" xfId="0" applyFont="1" applyBorder="1" applyAlignment="1">
      <alignment horizontal="left" readingOrder="1"/>
    </xf>
    <xf numFmtId="0" fontId="24" fillId="0" borderId="19" xfId="0" applyFont="1" applyBorder="1" applyAlignment="1">
      <alignment horizontal="left" readingOrder="1"/>
    </xf>
    <xf numFmtId="0" fontId="4" fillId="0" borderId="32" xfId="0" applyFont="1" applyBorder="1"/>
    <xf numFmtId="0" fontId="0" fillId="0" borderId="33" xfId="0" applyBorder="1"/>
    <xf numFmtId="164" fontId="4" fillId="0" borderId="33" xfId="1" applyNumberFormat="1" applyFont="1" applyBorder="1"/>
    <xf numFmtId="0" fontId="5" fillId="0" borderId="35" xfId="0" applyFont="1" applyBorder="1"/>
    <xf numFmtId="0" fontId="2" fillId="0" borderId="36" xfId="0" applyFont="1" applyBorder="1"/>
    <xf numFmtId="0" fontId="5" fillId="0" borderId="36" xfId="0" applyFont="1" applyBorder="1"/>
    <xf numFmtId="0" fontId="4" fillId="0" borderId="33" xfId="0" applyFont="1" applyBorder="1"/>
    <xf numFmtId="0" fontId="4" fillId="0" borderId="42" xfId="0" applyFont="1" applyBorder="1"/>
    <xf numFmtId="0" fontId="4" fillId="0" borderId="46" xfId="0" applyFont="1" applyBorder="1"/>
    <xf numFmtId="0" fontId="4" fillId="0" borderId="47" xfId="0" applyFont="1" applyBorder="1"/>
    <xf numFmtId="0" fontId="4" fillId="0" borderId="52" xfId="0" applyFont="1" applyBorder="1"/>
    <xf numFmtId="0" fontId="16" fillId="2" borderId="38" xfId="0" applyFont="1" applyFill="1" applyBorder="1" applyAlignment="1">
      <alignment readingOrder="1"/>
    </xf>
    <xf numFmtId="0" fontId="0" fillId="0" borderId="47" xfId="0" applyBorder="1"/>
    <xf numFmtId="164" fontId="4" fillId="0" borderId="47" xfId="1" applyNumberFormat="1" applyFont="1" applyBorder="1"/>
    <xf numFmtId="0" fontId="16" fillId="2" borderId="49" xfId="0" applyFont="1" applyFill="1" applyBorder="1" applyAlignment="1">
      <alignment readingOrder="1"/>
    </xf>
    <xf numFmtId="0" fontId="16" fillId="2" borderId="50" xfId="0" applyFont="1" applyFill="1" applyBorder="1" applyAlignment="1">
      <alignment readingOrder="1"/>
    </xf>
    <xf numFmtId="0" fontId="16" fillId="2" borderId="50" xfId="0" applyFont="1" applyFill="1" applyBorder="1" applyAlignment="1">
      <alignment horizontal="right" readingOrder="1"/>
    </xf>
    <xf numFmtId="0" fontId="16" fillId="2" borderId="51" xfId="0" applyFont="1" applyFill="1" applyBorder="1" applyAlignment="1">
      <alignment readingOrder="1"/>
    </xf>
    <xf numFmtId="0" fontId="4" fillId="0" borderId="39" xfId="0" applyFont="1" applyBorder="1"/>
    <xf numFmtId="0" fontId="0" fillId="0" borderId="40" xfId="0" applyBorder="1"/>
    <xf numFmtId="3" fontId="5" fillId="0" borderId="37" xfId="0" applyNumberFormat="1" applyFont="1" applyBorder="1"/>
    <xf numFmtId="164" fontId="4" fillId="0" borderId="41" xfId="0" applyNumberFormat="1" applyFont="1" applyBorder="1"/>
    <xf numFmtId="164" fontId="4" fillId="0" borderId="43" xfId="0" applyNumberFormat="1" applyFont="1" applyBorder="1"/>
    <xf numFmtId="2" fontId="4" fillId="0" borderId="43" xfId="0" applyNumberFormat="1" applyFont="1" applyBorder="1"/>
    <xf numFmtId="3" fontId="12" fillId="0" borderId="53" xfId="0" applyNumberFormat="1" applyFont="1" applyBorder="1"/>
    <xf numFmtId="3" fontId="12" fillId="0" borderId="34" xfId="0" applyNumberFormat="1" applyFont="1" applyBorder="1"/>
    <xf numFmtId="164" fontId="12" fillId="0" borderId="41" xfId="0" applyNumberFormat="1" applyFont="1" applyBorder="1"/>
    <xf numFmtId="2" fontId="12" fillId="0" borderId="41" xfId="0" applyNumberFormat="1" applyFont="1" applyBorder="1"/>
    <xf numFmtId="0" fontId="4" fillId="2" borderId="51" xfId="0" applyFont="1" applyFill="1" applyBorder="1"/>
    <xf numFmtId="164" fontId="4" fillId="0" borderId="47" xfId="0" applyNumberFormat="1" applyFont="1" applyBorder="1"/>
    <xf numFmtId="164" fontId="4" fillId="0" borderId="33" xfId="0" applyNumberFormat="1" applyFont="1" applyBorder="1"/>
    <xf numFmtId="164" fontId="4" fillId="0" borderId="48" xfId="0" applyNumberFormat="1" applyFont="1" applyBorder="1"/>
    <xf numFmtId="0" fontId="5" fillId="0" borderId="44" xfId="0" applyFont="1" applyBorder="1"/>
    <xf numFmtId="0" fontId="5" fillId="0" borderId="45" xfId="0" applyFont="1" applyBorder="1"/>
    <xf numFmtId="164" fontId="5" fillId="0" borderId="41" xfId="0" applyNumberFormat="1" applyFont="1" applyBorder="1"/>
    <xf numFmtId="0" fontId="2" fillId="0" borderId="45" xfId="0" applyFont="1" applyBorder="1"/>
    <xf numFmtId="164" fontId="5" fillId="0" borderId="43" xfId="0" applyNumberFormat="1" applyFont="1" applyBorder="1"/>
    <xf numFmtId="0" fontId="16" fillId="2" borderId="54" xfId="0" applyFont="1" applyFill="1" applyBorder="1" applyAlignment="1">
      <alignment readingOrder="1"/>
    </xf>
    <xf numFmtId="0" fontId="16" fillId="2" borderId="55" xfId="0" applyFont="1" applyFill="1" applyBorder="1" applyAlignment="1">
      <alignment readingOrder="1"/>
    </xf>
    <xf numFmtId="0" fontId="16" fillId="2" borderId="56" xfId="0" applyFont="1" applyFill="1" applyBorder="1" applyAlignment="1">
      <alignment readingOrder="1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5" fillId="0" borderId="57" xfId="0" applyFont="1" applyBorder="1"/>
    <xf numFmtId="0" fontId="4" fillId="0" borderId="57" xfId="0" applyFont="1" applyBorder="1" applyAlignment="1">
      <alignment horizontal="left" indent="1"/>
    </xf>
    <xf numFmtId="0" fontId="0" fillId="0" borderId="58" xfId="0" applyBorder="1"/>
    <xf numFmtId="0" fontId="5" fillId="0" borderId="58" xfId="0" applyFont="1" applyBorder="1"/>
    <xf numFmtId="3" fontId="4" fillId="0" borderId="58" xfId="0" applyNumberFormat="1" applyFont="1" applyBorder="1"/>
    <xf numFmtId="3" fontId="5" fillId="0" borderId="58" xfId="0" applyNumberFormat="1" applyFont="1" applyBorder="1"/>
    <xf numFmtId="164" fontId="4" fillId="0" borderId="58" xfId="0" applyNumberFormat="1" applyFont="1" applyBorder="1"/>
    <xf numFmtId="164" fontId="4" fillId="0" borderId="59" xfId="0" applyNumberFormat="1" applyFont="1" applyBorder="1"/>
    <xf numFmtId="164" fontId="5" fillId="0" borderId="58" xfId="0" applyNumberFormat="1" applyFont="1" applyBorder="1"/>
    <xf numFmtId="164" fontId="5" fillId="0" borderId="59" xfId="0" applyNumberFormat="1" applyFont="1" applyBorder="1"/>
    <xf numFmtId="164" fontId="12" fillId="0" borderId="58" xfId="0" applyNumberFormat="1" applyFont="1" applyBorder="1"/>
    <xf numFmtId="164" fontId="14" fillId="0" borderId="8" xfId="0" applyNumberFormat="1" applyFont="1" applyBorder="1" applyAlignment="1">
      <alignment horizontal="right" readingOrder="1"/>
    </xf>
    <xf numFmtId="0" fontId="11" fillId="0" borderId="0" xfId="0" applyFont="1" applyBorder="1" applyAlignment="1">
      <alignment readingOrder="1"/>
    </xf>
    <xf numFmtId="3" fontId="12" fillId="0" borderId="0" xfId="0" applyNumberFormat="1" applyFont="1" applyBorder="1" applyAlignment="1">
      <alignment horizontal="right" readingOrder="1"/>
    </xf>
    <xf numFmtId="3" fontId="11" fillId="0" borderId="0" xfId="0" applyNumberFormat="1" applyFont="1" applyBorder="1" applyAlignment="1">
      <alignment horizontal="right" readingOrder="1"/>
    </xf>
    <xf numFmtId="164" fontId="14" fillId="0" borderId="0" xfId="0" applyNumberFormat="1" applyFont="1" applyBorder="1" applyAlignment="1">
      <alignment horizontal="right" readingOrder="1"/>
    </xf>
    <xf numFmtId="164" fontId="26" fillId="0" borderId="11" xfId="0" applyNumberFormat="1" applyFont="1" applyBorder="1" applyAlignment="1">
      <alignment horizontal="right" readingOrder="1"/>
    </xf>
    <xf numFmtId="164" fontId="27" fillId="0" borderId="11" xfId="0" applyNumberFormat="1" applyFont="1" applyBorder="1" applyAlignment="1">
      <alignment horizontal="right" readingOrder="1"/>
    </xf>
    <xf numFmtId="0" fontId="28" fillId="0" borderId="0" xfId="2" applyAlignment="1">
      <alignment horizontal="left" vertical="top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57" xfId="0" applyFont="1" applyBorder="1" applyAlignment="1">
      <alignment horizontal="right"/>
    </xf>
    <xf numFmtId="10" fontId="19" fillId="0" borderId="0" xfId="0" applyNumberFormat="1" applyFont="1" applyFill="1" applyBorder="1" applyAlignment="1">
      <alignment horizontal="right" wrapText="1" readingOrder="1"/>
    </xf>
    <xf numFmtId="164" fontId="4" fillId="0" borderId="0" xfId="0" applyNumberFormat="1" applyFont="1" applyBorder="1"/>
    <xf numFmtId="0" fontId="4" fillId="0" borderId="60" xfId="0" applyFont="1" applyBorder="1"/>
    <xf numFmtId="0" fontId="0" fillId="0" borderId="60" xfId="0" applyBorder="1"/>
    <xf numFmtId="164" fontId="24" fillId="0" borderId="21" xfId="0" applyNumberFormat="1" applyFont="1" applyFill="1" applyBorder="1"/>
    <xf numFmtId="164" fontId="5" fillId="0" borderId="0" xfId="0" applyNumberFormat="1" applyFont="1" applyFill="1" applyBorder="1"/>
    <xf numFmtId="3" fontId="19" fillId="0" borderId="21" xfId="0" applyNumberFormat="1" applyFont="1" applyFill="1" applyBorder="1" applyAlignment="1">
      <alignment horizontal="right" wrapText="1" readingOrder="1"/>
    </xf>
    <xf numFmtId="164" fontId="5" fillId="0" borderId="0" xfId="0" applyNumberFormat="1" applyFont="1" applyBorder="1"/>
    <xf numFmtId="0" fontId="29" fillId="0" borderId="0" xfId="0" applyFont="1"/>
    <xf numFmtId="0" fontId="29" fillId="0" borderId="0" xfId="0" applyFont="1" applyAlignment="1"/>
    <xf numFmtId="0" fontId="29" fillId="0" borderId="33" xfId="0" applyFont="1" applyBorder="1" applyAlignment="1">
      <alignment horizontal="center"/>
    </xf>
    <xf numFmtId="0" fontId="29" fillId="0" borderId="33" xfId="0" quotePrefix="1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30" fillId="0" borderId="0" xfId="0" applyFont="1"/>
    <xf numFmtId="0" fontId="16" fillId="2" borderId="1" xfId="0" applyFont="1" applyFill="1" applyBorder="1" applyAlignment="1">
      <alignment horizontal="left" wrapText="1" readingOrder="1"/>
    </xf>
    <xf numFmtId="0" fontId="16" fillId="2" borderId="2" xfId="0" applyFont="1" applyFill="1" applyBorder="1" applyAlignment="1">
      <alignment horizontal="left" wrapText="1" readingOrder="1"/>
    </xf>
    <xf numFmtId="0" fontId="16" fillId="2" borderId="3" xfId="0" applyFont="1" applyFill="1" applyBorder="1" applyAlignment="1">
      <alignment horizontal="left" wrapText="1" readingOrder="1"/>
    </xf>
    <xf numFmtId="0" fontId="16" fillId="2" borderId="5" xfId="0" applyFont="1" applyFill="1" applyBorder="1" applyAlignment="1">
      <alignment horizontal="center" wrapText="1" readingOrder="1"/>
    </xf>
    <xf numFmtId="0" fontId="16" fillId="2" borderId="2" xfId="0" applyFont="1" applyFill="1" applyBorder="1" applyAlignment="1">
      <alignment horizontal="center" wrapText="1" readingOrder="1"/>
    </xf>
    <xf numFmtId="0" fontId="16" fillId="2" borderId="3" xfId="0" applyFont="1" applyFill="1" applyBorder="1" applyAlignment="1">
      <alignment horizontal="center" wrapText="1" readingOrder="1"/>
    </xf>
    <xf numFmtId="0" fontId="16" fillId="2" borderId="29" xfId="0" applyFont="1" applyFill="1" applyBorder="1" applyAlignment="1">
      <alignment horizontal="left" readingOrder="1"/>
    </xf>
    <xf numFmtId="0" fontId="16" fillId="2" borderId="0" xfId="0" applyFont="1" applyFill="1" applyBorder="1" applyAlignment="1">
      <alignment horizontal="left" readingOrder="1"/>
    </xf>
    <xf numFmtId="0" fontId="16" fillId="2" borderId="49" xfId="0" applyFont="1" applyFill="1" applyBorder="1" applyAlignment="1">
      <alignment horizontal="left" readingOrder="1"/>
    </xf>
    <xf numFmtId="0" fontId="16" fillId="2" borderId="50" xfId="0" applyFont="1" applyFill="1" applyBorder="1" applyAlignment="1">
      <alignment horizontal="left" readingOrder="1"/>
    </xf>
    <xf numFmtId="0" fontId="16" fillId="2" borderId="51" xfId="0" applyFont="1" applyFill="1" applyBorder="1" applyAlignment="1">
      <alignment horizontal="left" readingOrder="1"/>
    </xf>
    <xf numFmtId="0" fontId="31" fillId="0" borderId="24" xfId="0" applyFont="1" applyBorder="1" applyAlignment="1">
      <alignment horizontal="right"/>
    </xf>
    <xf numFmtId="0" fontId="13" fillId="0" borderId="11" xfId="0" applyFont="1" applyBorder="1" applyAlignment="1">
      <alignment horizontal="right" readingOrder="1"/>
    </xf>
    <xf numFmtId="0" fontId="16" fillId="2" borderId="61" xfId="0" applyFont="1" applyFill="1" applyBorder="1" applyAlignment="1">
      <alignment readingOrder="1"/>
    </xf>
    <xf numFmtId="0" fontId="16" fillId="2" borderId="62" xfId="0" applyFont="1" applyFill="1" applyBorder="1" applyAlignment="1">
      <alignment readingOrder="1"/>
    </xf>
    <xf numFmtId="0" fontId="4" fillId="0" borderId="64" xfId="0" applyFont="1" applyBorder="1"/>
    <xf numFmtId="0" fontId="4" fillId="0" borderId="65" xfId="0" applyFont="1" applyBorder="1"/>
    <xf numFmtId="0" fontId="11" fillId="0" borderId="64" xfId="0" applyFont="1" applyBorder="1" applyAlignment="1">
      <alignment readingOrder="1"/>
    </xf>
    <xf numFmtId="0" fontId="11" fillId="0" borderId="65" xfId="0" applyFont="1" applyBorder="1" applyAlignment="1">
      <alignment readingOrder="1"/>
    </xf>
    <xf numFmtId="3" fontId="12" fillId="0" borderId="65" xfId="0" applyNumberFormat="1" applyFont="1" applyBorder="1" applyAlignment="1">
      <alignment horizontal="right" readingOrder="1"/>
    </xf>
    <xf numFmtId="3" fontId="12" fillId="0" borderId="65" xfId="0" applyNumberFormat="1" applyFont="1" applyBorder="1"/>
    <xf numFmtId="3" fontId="12" fillId="0" borderId="66" xfId="0" applyNumberFormat="1" applyFont="1" applyBorder="1"/>
    <xf numFmtId="0" fontId="5" fillId="0" borderId="64" xfId="0" applyFont="1" applyBorder="1"/>
    <xf numFmtId="3" fontId="5" fillId="0" borderId="65" xfId="0" applyNumberFormat="1" applyFont="1" applyBorder="1"/>
    <xf numFmtId="3" fontId="5" fillId="0" borderId="66" xfId="0" applyNumberFormat="1" applyFont="1" applyBorder="1"/>
    <xf numFmtId="3" fontId="4" fillId="0" borderId="65" xfId="0" applyNumberFormat="1" applyFont="1" applyBorder="1"/>
    <xf numFmtId="3" fontId="4" fillId="0" borderId="66" xfId="0" applyNumberFormat="1" applyFont="1" applyBorder="1"/>
    <xf numFmtId="0" fontId="5" fillId="0" borderId="65" xfId="0" applyFont="1" applyBorder="1"/>
    <xf numFmtId="164" fontId="4" fillId="0" borderId="65" xfId="1" applyNumberFormat="1" applyFont="1" applyBorder="1"/>
    <xf numFmtId="0" fontId="5" fillId="0" borderId="67" xfId="0" applyFont="1" applyBorder="1"/>
    <xf numFmtId="0" fontId="5" fillId="0" borderId="68" xfId="0" applyFont="1" applyBorder="1"/>
    <xf numFmtId="3" fontId="5" fillId="0" borderId="68" xfId="0" applyNumberFormat="1" applyFont="1" applyBorder="1"/>
    <xf numFmtId="3" fontId="5" fillId="0" borderId="69" xfId="0" applyNumberFormat="1" applyFont="1" applyBorder="1"/>
    <xf numFmtId="0" fontId="4" fillId="0" borderId="61" xfId="0" applyFont="1" applyBorder="1"/>
    <xf numFmtId="0" fontId="4" fillId="0" borderId="62" xfId="0" applyFont="1" applyBorder="1"/>
    <xf numFmtId="0" fontId="4" fillId="0" borderId="63" xfId="0" applyFont="1" applyBorder="1"/>
    <xf numFmtId="0" fontId="16" fillId="2" borderId="70" xfId="0" applyFont="1" applyFill="1" applyBorder="1" applyAlignment="1">
      <alignment readingOrder="1"/>
    </xf>
    <xf numFmtId="0" fontId="16" fillId="2" borderId="71" xfId="0" applyFont="1" applyFill="1" applyBorder="1" applyAlignment="1">
      <alignment readingOrder="1"/>
    </xf>
    <xf numFmtId="0" fontId="16" fillId="2" borderId="71" xfId="0" applyFont="1" applyFill="1" applyBorder="1" applyAlignment="1">
      <alignment horizontal="right" vertical="center" readingOrder="1"/>
    </xf>
    <xf numFmtId="0" fontId="16" fillId="2" borderId="72" xfId="0" applyFont="1" applyFill="1" applyBorder="1" applyAlignment="1">
      <alignment horizontal="right" vertical="center" readingOrder="1"/>
    </xf>
    <xf numFmtId="166" fontId="16" fillId="2" borderId="0" xfId="0" applyNumberFormat="1" applyFont="1" applyFill="1" applyBorder="1" applyAlignment="1">
      <alignment horizontal="right" vertical="center" readingOrder="1"/>
    </xf>
    <xf numFmtId="0" fontId="11" fillId="0" borderId="73" xfId="0" applyFont="1" applyBorder="1" applyAlignment="1">
      <alignment readingOrder="1"/>
    </xf>
    <xf numFmtId="0" fontId="11" fillId="0" borderId="17" xfId="0" applyFont="1" applyBorder="1" applyAlignment="1">
      <alignment readingOrder="1"/>
    </xf>
    <xf numFmtId="3" fontId="11" fillId="0" borderId="17" xfId="0" applyNumberFormat="1" applyFont="1" applyBorder="1" applyAlignment="1">
      <alignment horizontal="right" readingOrder="1"/>
    </xf>
    <xf numFmtId="3" fontId="11" fillId="0" borderId="74" xfId="0" applyNumberFormat="1" applyFont="1" applyBorder="1" applyAlignment="1">
      <alignment horizontal="right" readingOrder="1"/>
    </xf>
    <xf numFmtId="3" fontId="12" fillId="0" borderId="12" xfId="0" applyNumberFormat="1" applyFont="1" applyBorder="1" applyAlignment="1">
      <alignment horizontal="right" readingOrder="1"/>
    </xf>
    <xf numFmtId="0" fontId="11" fillId="0" borderId="13" xfId="0" applyFont="1" applyBorder="1" applyAlignment="1">
      <alignment readingOrder="1"/>
    </xf>
    <xf numFmtId="0" fontId="11" fillId="0" borderId="14" xfId="0" applyFont="1" applyBorder="1" applyAlignment="1">
      <alignment readingOrder="1"/>
    </xf>
    <xf numFmtId="3" fontId="11" fillId="0" borderId="14" xfId="0" applyNumberFormat="1" applyFont="1" applyBorder="1" applyAlignment="1">
      <alignment horizontal="right" readingOrder="1"/>
    </xf>
    <xf numFmtId="3" fontId="11" fillId="0" borderId="15" xfId="0" applyNumberFormat="1" applyFont="1" applyBorder="1" applyAlignment="1">
      <alignment horizontal="right" readingOrder="1"/>
    </xf>
    <xf numFmtId="0" fontId="13" fillId="3" borderId="21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horizontal="left" wrapText="1" readingOrder="1"/>
    </xf>
    <xf numFmtId="0" fontId="21" fillId="3" borderId="0" xfId="0" applyFont="1" applyFill="1" applyBorder="1" applyAlignment="1">
      <alignment horizontal="left" wrapText="1" readingOrder="1"/>
    </xf>
    <xf numFmtId="0" fontId="20" fillId="3" borderId="0" xfId="0" applyFont="1" applyFill="1" applyBorder="1" applyAlignment="1">
      <alignment horizontal="center" wrapText="1" readingOrder="1"/>
    </xf>
    <xf numFmtId="166" fontId="20" fillId="3" borderId="0" xfId="0" applyNumberFormat="1" applyFont="1" applyFill="1" applyBorder="1" applyAlignment="1">
      <alignment horizontal="right" wrapText="1" readingOrder="1"/>
    </xf>
    <xf numFmtId="0" fontId="13" fillId="3" borderId="22" xfId="0" applyFont="1" applyFill="1" applyBorder="1" applyAlignment="1">
      <alignment horizontal="right" vertical="center" wrapText="1"/>
    </xf>
    <xf numFmtId="3" fontId="11" fillId="0" borderId="75" xfId="0" applyNumberFormat="1" applyFont="1" applyBorder="1" applyAlignment="1">
      <alignment horizontal="right" readingOrder="1"/>
    </xf>
    <xf numFmtId="0" fontId="16" fillId="2" borderId="1" xfId="0" applyFont="1" applyFill="1" applyBorder="1" applyAlignment="1">
      <alignment horizontal="left" readingOrder="1"/>
    </xf>
    <xf numFmtId="0" fontId="16" fillId="2" borderId="2" xfId="0" applyFont="1" applyFill="1" applyBorder="1" applyAlignment="1">
      <alignment horizontal="left" readingOrder="1"/>
    </xf>
    <xf numFmtId="0" fontId="16" fillId="2" borderId="16" xfId="0" applyFont="1" applyFill="1" applyBorder="1" applyAlignment="1">
      <alignment horizontal="center" wrapText="1" readingOrder="1"/>
    </xf>
    <xf numFmtId="0" fontId="11" fillId="0" borderId="73" xfId="0" applyFont="1" applyBorder="1" applyAlignment="1">
      <alignment horizontal="left" readingOrder="1"/>
    </xf>
    <xf numFmtId="3" fontId="32" fillId="0" borderId="31" xfId="0" applyNumberFormat="1" applyFont="1" applyBorder="1" applyAlignment="1">
      <alignment horizontal="right" readingOrder="1"/>
    </xf>
    <xf numFmtId="3" fontId="19" fillId="4" borderId="20" xfId="0" applyNumberFormat="1" applyFont="1" applyFill="1" applyBorder="1" applyAlignment="1">
      <alignment horizontal="right" readingOrder="1"/>
    </xf>
    <xf numFmtId="0" fontId="11" fillId="0" borderId="76" xfId="0" applyFont="1" applyBorder="1" applyAlignment="1">
      <alignment horizontal="right" readingOrder="1"/>
    </xf>
    <xf numFmtId="0" fontId="19" fillId="0" borderId="76" xfId="0" applyFont="1" applyFill="1" applyBorder="1" applyAlignment="1">
      <alignment horizontal="right" readingOrder="1"/>
    </xf>
    <xf numFmtId="0" fontId="19" fillId="0" borderId="64" xfId="0" applyFont="1" applyBorder="1" applyAlignment="1">
      <alignment readingOrder="1"/>
    </xf>
    <xf numFmtId="3" fontId="33" fillId="0" borderId="65" xfId="0" applyNumberFormat="1" applyFont="1" applyBorder="1" applyAlignment="1">
      <alignment horizontal="right" readingOrder="1"/>
    </xf>
    <xf numFmtId="3" fontId="33" fillId="0" borderId="66" xfId="0" applyNumberFormat="1" applyFont="1" applyBorder="1" applyAlignment="1">
      <alignment horizontal="right" readingOrder="1"/>
    </xf>
    <xf numFmtId="0" fontId="34" fillId="0" borderId="64" xfId="0" applyFont="1" applyBorder="1" applyAlignment="1">
      <alignment readingOrder="1"/>
    </xf>
    <xf numFmtId="3" fontId="13" fillId="0" borderId="65" xfId="0" applyNumberFormat="1" applyFont="1" applyBorder="1" applyAlignment="1">
      <alignment horizontal="right" readingOrder="1"/>
    </xf>
    <xf numFmtId="3" fontId="13" fillId="0" borderId="66" xfId="0" applyNumberFormat="1" applyFont="1" applyBorder="1" applyAlignment="1">
      <alignment horizontal="right" readingOrder="1"/>
    </xf>
    <xf numFmtId="0" fontId="16" fillId="2" borderId="62" xfId="0" applyFont="1" applyFill="1" applyBorder="1" applyAlignment="1">
      <alignment horizontal="center" vertical="center" readingOrder="1"/>
    </xf>
    <xf numFmtId="16" fontId="16" fillId="2" borderId="63" xfId="0" applyNumberFormat="1" applyFont="1" applyFill="1" applyBorder="1" applyAlignment="1">
      <alignment horizontal="right" vertical="center" wrapText="1" readingOrder="1"/>
    </xf>
    <xf numFmtId="0" fontId="34" fillId="4" borderId="64" xfId="0" applyFont="1" applyFill="1" applyBorder="1" applyAlignment="1">
      <alignment readingOrder="1"/>
    </xf>
    <xf numFmtId="0" fontId="34" fillId="4" borderId="65" xfId="0" applyFont="1" applyFill="1" applyBorder="1" applyAlignment="1">
      <alignment readingOrder="1"/>
    </xf>
    <xf numFmtId="3" fontId="34" fillId="4" borderId="65" xfId="0" applyNumberFormat="1" applyFont="1" applyFill="1" applyBorder="1" applyAlignment="1">
      <alignment horizontal="right" readingOrder="1"/>
    </xf>
    <xf numFmtId="3" fontId="34" fillId="4" borderId="66" xfId="0" applyNumberFormat="1" applyFont="1" applyFill="1" applyBorder="1" applyAlignment="1">
      <alignment horizontal="right" readingOrder="1"/>
    </xf>
    <xf numFmtId="0" fontId="19" fillId="4" borderId="64" xfId="0" applyFont="1" applyFill="1" applyBorder="1" applyAlignment="1">
      <alignment readingOrder="1"/>
    </xf>
    <xf numFmtId="0" fontId="11" fillId="4" borderId="65" xfId="0" applyFont="1" applyFill="1" applyBorder="1" applyAlignment="1">
      <alignment readingOrder="1"/>
    </xf>
    <xf numFmtId="3" fontId="33" fillId="4" borderId="65" xfId="0" applyNumberFormat="1" applyFont="1" applyFill="1" applyBorder="1" applyAlignment="1">
      <alignment horizontal="right" readingOrder="1"/>
    </xf>
    <xf numFmtId="3" fontId="33" fillId="4" borderId="66" xfId="0" applyNumberFormat="1" applyFont="1" applyFill="1" applyBorder="1" applyAlignment="1">
      <alignment horizontal="right" readingOrder="1"/>
    </xf>
    <xf numFmtId="3" fontId="19" fillId="0" borderId="0" xfId="0" applyNumberFormat="1" applyFont="1" applyBorder="1" applyAlignment="1">
      <alignment horizontal="right" readingOrder="1"/>
    </xf>
    <xf numFmtId="165" fontId="11" fillId="0" borderId="0" xfId="0" applyNumberFormat="1" applyFont="1" applyBorder="1" applyAlignment="1">
      <alignment horizontal="right" readingOrder="1"/>
    </xf>
    <xf numFmtId="3" fontId="19" fillId="4" borderId="0" xfId="0" applyNumberFormat="1" applyFont="1" applyFill="1" applyBorder="1" applyAlignment="1">
      <alignment horizontal="right" readingOrder="1"/>
    </xf>
    <xf numFmtId="0" fontId="16" fillId="2" borderId="1" xfId="0" applyFont="1" applyFill="1" applyBorder="1" applyAlignment="1">
      <alignment horizontal="centerContinuous" wrapText="1" readingOrder="1"/>
    </xf>
    <xf numFmtId="0" fontId="16" fillId="2" borderId="2" xfId="0" applyFont="1" applyFill="1" applyBorder="1" applyAlignment="1">
      <alignment horizontal="centerContinuous" wrapText="1" readingOrder="1"/>
    </xf>
    <xf numFmtId="0" fontId="16" fillId="2" borderId="3" xfId="0" applyFont="1" applyFill="1" applyBorder="1" applyAlignment="1">
      <alignment horizontal="centerContinuous" wrapText="1" readingOrder="1"/>
    </xf>
    <xf numFmtId="0" fontId="34" fillId="3" borderId="7" xfId="0" applyFont="1" applyFill="1" applyBorder="1" applyAlignment="1">
      <alignment vertical="center"/>
    </xf>
  </cellXfs>
  <cellStyles count="3">
    <cellStyle name="EYtextbold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3949AB"/>
      <color rgb="FFDDDDDD"/>
      <color rgb="FF61616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47625</xdr:rowOff>
    </xdr:to>
    <xdr:sp macro="" textlink="">
      <xdr:nvSpPr>
        <xdr:cNvPr id="12289" name="AutoShape 1" descr="File:Smartwatch-828786.jpg"/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3005</xdr:colOff>
      <xdr:row>7</xdr:row>
      <xdr:rowOff>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02" b="39807"/>
        <a:stretch/>
      </xdr:blipFill>
      <xdr:spPr>
        <a:xfrm>
          <a:off x="0" y="0"/>
          <a:ext cx="7369005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52917</xdr:colOff>
      <xdr:row>0</xdr:row>
      <xdr:rowOff>116417</xdr:rowOff>
    </xdr:from>
    <xdr:to>
      <xdr:col>4</xdr:col>
      <xdr:colOff>285920</xdr:colOff>
      <xdr:row>4</xdr:row>
      <xdr:rowOff>26501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7" y="116417"/>
          <a:ext cx="2688336" cy="6720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47625</xdr:rowOff>
    </xdr:to>
    <xdr:sp macro="" textlink="">
      <xdr:nvSpPr>
        <xdr:cNvPr id="12290" name="AutoShape 2" descr="https://upload.wikimedia.org/wikipedia/commons/thumb/b/b0/Smartwatch-828786.jpg/800px-Smartwatch-828786.jpg"/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zCom%20PP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assumptions"/>
      <sheetName val="Helpful Hints"/>
      <sheetName val="Summary of assumptions"/>
      <sheetName val="Eng overview"/>
      <sheetName val="TOC"/>
      <sheetName val="Cover"/>
      <sheetName val="Summary of Values"/>
      <sheetName val="Range of Values"/>
      <sheetName val="Summary of Intangible Values"/>
      <sheetName val="Historical IS"/>
      <sheetName val="Historical BS GAAP"/>
      <sheetName val="Historical BS IFRS"/>
      <sheetName val="PFI"/>
      <sheetName val="PFI Synergy"/>
      <sheetName val="Revenue detail A"/>
      <sheetName val="Revenue detail B"/>
      <sheetName val="Inventory"/>
      <sheetName val="Trademark"/>
      <sheetName val="TM RR Support"/>
      <sheetName val="Non-compete agreement"/>
      <sheetName val="Backlog"/>
      <sheetName val="Customer Relationships - MPEEM"/>
      <sheetName val="Technology - RFR"/>
      <sheetName val="Tech RR Support"/>
      <sheetName val="Technology - MPEEM"/>
      <sheetName val="Technology - IPR&amp;D"/>
      <sheetName val="Software"/>
      <sheetName val="Workforce"/>
      <sheetName val="Contributory charges"/>
      <sheetName val="Deferred revenue"/>
      <sheetName val="WACC"/>
      <sheetName val="IRR"/>
      <sheetName val="IRR TAB Example"/>
      <sheetName val="WARA"/>
      <sheetName val="IFRS Goodwill calculation"/>
      <sheetName val="Capital Equipment"/>
      <sheetName val="Guideline descriptions"/>
      <sheetName val="Guideline Co Metrics"/>
      <sheetName val="Customer analysis"/>
      <sheetName val="Profit Split"/>
      <sheetName val="Other tools-&gt;&gt;"/>
      <sheetName val="Exhibit template"/>
      <sheetName val="WF Template"/>
      <sheetName val="IDS Template"/>
      <sheetName val="Customer contract renewal"/>
      <sheetName val="TAB extended calculation"/>
      <sheetName val="Sales attrition"/>
      <sheetName val="Customer attrition"/>
      <sheetName val="STIRevenuebyProgramCustomerResu"/>
      <sheetName val="Index"/>
      <sheetName val="Abbreviations"/>
      <sheetName val="Lead_Index"/>
      <sheetName val="Other Support --&gt;"/>
    </sheetNames>
    <sheetDataSet>
      <sheetData sheetId="0">
        <row r="37">
          <cell r="C37">
            <v>41090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1" workbookViewId="0">
      <selection activeCell="C12" sqref="C12"/>
    </sheetView>
  </sheetViews>
  <sheetFormatPr defaultRowHeight="13.5" customHeight="1" x14ac:dyDescent="0.2"/>
  <cols>
    <col min="1" max="1" width="25.28515625" style="3" customWidth="1"/>
    <col min="2" max="2" width="9.140625" style="3"/>
    <col min="3" max="3" width="10.5703125" style="3" customWidth="1"/>
    <col min="4" max="16384" width="9.140625" style="3"/>
  </cols>
  <sheetData>
    <row r="1" spans="1:3" ht="12.75" x14ac:dyDescent="0.2"/>
    <row r="2" spans="1:3" ht="23.25" x14ac:dyDescent="0.35">
      <c r="A2" s="6" t="s">
        <v>12</v>
      </c>
    </row>
    <row r="6" spans="1:3" ht="13.5" customHeight="1" x14ac:dyDescent="0.2">
      <c r="A6" s="4" t="s">
        <v>19</v>
      </c>
    </row>
    <row r="7" spans="1:3" ht="13.5" customHeight="1" x14ac:dyDescent="0.2">
      <c r="A7" s="3" t="s">
        <v>13</v>
      </c>
      <c r="C7" s="7" t="s">
        <v>14</v>
      </c>
    </row>
    <row r="8" spans="1:3" ht="13.5" customHeight="1" x14ac:dyDescent="0.2">
      <c r="A8" s="3" t="s">
        <v>15</v>
      </c>
      <c r="C8" s="3" t="s">
        <v>16</v>
      </c>
    </row>
    <row r="9" spans="1:3" ht="13.5" customHeight="1" x14ac:dyDescent="0.2">
      <c r="A9" s="3" t="s">
        <v>17</v>
      </c>
      <c r="C9" s="8" t="s">
        <v>18</v>
      </c>
    </row>
    <row r="11" spans="1:3" ht="13.5" customHeight="1" x14ac:dyDescent="0.2">
      <c r="A11" s="13" t="s">
        <v>20</v>
      </c>
      <c r="B11" s="14"/>
      <c r="C11" s="15" t="s">
        <v>199</v>
      </c>
    </row>
    <row r="12" spans="1:3" ht="13.5" customHeight="1" x14ac:dyDescent="0.2">
      <c r="A12" s="13" t="s">
        <v>21</v>
      </c>
      <c r="B12" s="14"/>
      <c r="C12" s="15" t="s">
        <v>200</v>
      </c>
    </row>
    <row r="13" spans="1:3" ht="13.5" customHeight="1" x14ac:dyDescent="0.2">
      <c r="A13" s="13" t="s">
        <v>22</v>
      </c>
      <c r="B13" s="14"/>
      <c r="C13" s="16">
        <v>43921</v>
      </c>
    </row>
    <row r="14" spans="1:3" ht="13.5" customHeight="1" x14ac:dyDescent="0.2">
      <c r="A14" s="13" t="s">
        <v>24</v>
      </c>
      <c r="B14" s="14"/>
      <c r="C14" s="16">
        <v>43830</v>
      </c>
    </row>
    <row r="15" spans="1:3" ht="13.5" customHeight="1" x14ac:dyDescent="0.2">
      <c r="A15" s="13" t="s">
        <v>25</v>
      </c>
      <c r="B15" s="14"/>
      <c r="C15" s="16">
        <v>43921</v>
      </c>
    </row>
    <row r="16" spans="1:3" ht="13.5" customHeight="1" x14ac:dyDescent="0.2">
      <c r="A16" s="13" t="s">
        <v>26</v>
      </c>
      <c r="B16" s="14"/>
      <c r="C16" s="16">
        <v>44196</v>
      </c>
    </row>
    <row r="17" spans="1:3" ht="13.5" customHeight="1" x14ac:dyDescent="0.2">
      <c r="A17" s="13" t="s">
        <v>23</v>
      </c>
      <c r="B17" s="14"/>
      <c r="C17" s="17">
        <f>YEARFRAC(C13,DATE(YEAR(C13),12,31),0)</f>
        <v>0.75</v>
      </c>
    </row>
    <row r="18" spans="1:3" ht="13.5" customHeight="1" x14ac:dyDescent="0.2">
      <c r="A18" s="13"/>
      <c r="B18" s="14"/>
      <c r="C18" s="17"/>
    </row>
    <row r="19" spans="1:3" ht="13.5" customHeight="1" x14ac:dyDescent="0.2">
      <c r="A19" s="13" t="s">
        <v>27</v>
      </c>
      <c r="B19" s="14"/>
      <c r="C19" s="18">
        <v>0.21</v>
      </c>
    </row>
    <row r="20" spans="1:3" ht="13.5" customHeight="1" x14ac:dyDescent="0.2">
      <c r="A20" s="13" t="s">
        <v>28</v>
      </c>
      <c r="B20" s="14"/>
      <c r="C20" s="18">
        <v>6.5000000000000002E-2</v>
      </c>
    </row>
    <row r="21" spans="1:3" ht="13.5" customHeight="1" x14ac:dyDescent="0.2">
      <c r="A21" s="13" t="s">
        <v>29</v>
      </c>
      <c r="B21" s="14"/>
      <c r="C21" s="18">
        <v>0.26140000000000002</v>
      </c>
    </row>
    <row r="22" spans="1:3" ht="13.5" customHeight="1" x14ac:dyDescent="0.2">
      <c r="A22" s="13" t="s">
        <v>30</v>
      </c>
      <c r="B22" s="14"/>
      <c r="C22" s="18">
        <v>3.5000000000000003E-2</v>
      </c>
    </row>
    <row r="24" spans="1:3" ht="13.5" customHeight="1" x14ac:dyDescent="0.2">
      <c r="A24" s="3" t="s">
        <v>31</v>
      </c>
      <c r="C24" s="12" t="s">
        <v>32</v>
      </c>
    </row>
    <row r="25" spans="1:3" ht="13.5" customHeight="1" x14ac:dyDescent="0.2">
      <c r="A25" s="3" t="s">
        <v>33</v>
      </c>
      <c r="C25" s="19" t="s">
        <v>34</v>
      </c>
    </row>
    <row r="26" spans="1:3" ht="13.5" customHeight="1" x14ac:dyDescent="0.2">
      <c r="A26" s="3" t="s">
        <v>35</v>
      </c>
      <c r="C26" s="19" t="s">
        <v>36</v>
      </c>
    </row>
    <row r="28" spans="1:3" ht="13.5" customHeight="1" x14ac:dyDescent="0.2">
      <c r="A28" s="3" t="s">
        <v>90</v>
      </c>
      <c r="C28" s="242" t="s">
        <v>101</v>
      </c>
    </row>
    <row r="29" spans="1:3" ht="13.5" customHeight="1" x14ac:dyDescent="0.2">
      <c r="A29" s="3" t="s">
        <v>91</v>
      </c>
      <c r="C29" s="243">
        <v>0.05</v>
      </c>
    </row>
    <row r="30" spans="1:3" ht="13.5" customHeight="1" x14ac:dyDescent="0.2">
      <c r="A30" s="3" t="s">
        <v>92</v>
      </c>
      <c r="C30" s="242"/>
    </row>
    <row r="31" spans="1:3" ht="13.5" customHeight="1" x14ac:dyDescent="0.2">
      <c r="A31" s="3" t="s">
        <v>93</v>
      </c>
      <c r="C31" s="242" t="s">
        <v>102</v>
      </c>
    </row>
    <row r="32" spans="1:3" ht="13.5" customHeight="1" x14ac:dyDescent="0.2">
      <c r="A32" s="3" t="s">
        <v>94</v>
      </c>
      <c r="C32" s="242" t="s">
        <v>103</v>
      </c>
    </row>
    <row r="33" spans="1:3" ht="13.5" customHeight="1" x14ac:dyDescent="0.2">
      <c r="A33" s="3" t="s">
        <v>95</v>
      </c>
      <c r="C33" s="242" t="s">
        <v>104</v>
      </c>
    </row>
    <row r="34" spans="1:3" ht="13.5" customHeight="1" x14ac:dyDescent="0.2">
      <c r="A34" s="3" t="s">
        <v>96</v>
      </c>
      <c r="C34" s="243">
        <v>0.9</v>
      </c>
    </row>
    <row r="35" spans="1:3" ht="13.5" customHeight="1" x14ac:dyDescent="0.2">
      <c r="A35" s="3" t="s">
        <v>97</v>
      </c>
      <c r="C35" s="243">
        <v>1.4999999999999999E-2</v>
      </c>
    </row>
    <row r="36" spans="1:3" ht="13.5" customHeight="1" x14ac:dyDescent="0.2">
      <c r="A36" s="3" t="s">
        <v>98</v>
      </c>
      <c r="C36" s="243">
        <v>0.15</v>
      </c>
    </row>
    <row r="37" spans="1:3" ht="13.5" customHeight="1" x14ac:dyDescent="0.2">
      <c r="A37" s="3" t="s">
        <v>99</v>
      </c>
      <c r="C37" s="243">
        <v>0.03</v>
      </c>
    </row>
    <row r="38" spans="1:3" ht="13.5" customHeight="1" x14ac:dyDescent="0.2">
      <c r="A38" s="3" t="s">
        <v>100</v>
      </c>
      <c r="C38" s="243">
        <v>1.2200000000000001E-2</v>
      </c>
    </row>
    <row r="39" spans="1:3" ht="13.5" customHeight="1" x14ac:dyDescent="0.2">
      <c r="A39" s="3" t="s">
        <v>46</v>
      </c>
      <c r="C39" s="243">
        <v>1.9E-2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showGridLines="0" view="pageBreakPreview" topLeftCell="A6" zoomScaleNormal="100" zoomScaleSheetLayoutView="100" workbookViewId="0">
      <selection activeCell="N26" sqref="N26"/>
    </sheetView>
  </sheetViews>
  <sheetFormatPr defaultRowHeight="15" x14ac:dyDescent="0.25"/>
  <cols>
    <col min="1" max="1" width="3.5703125" customWidth="1"/>
    <col min="5" max="5" width="7.5703125" customWidth="1"/>
    <col min="7" max="14" width="9.5703125" customWidth="1"/>
    <col min="15" max="15" width="2.7109375" customWidth="1"/>
  </cols>
  <sheetData>
    <row r="1" spans="2:19" ht="15.75" x14ac:dyDescent="0.25">
      <c r="B1" s="22" t="str">
        <f>Acq_name</f>
        <v>Acquisition Holdings Ltd.</v>
      </c>
      <c r="N1" s="83" t="str">
        <f>"Exhibit: "&amp;INDEX(TOC!$B$5:$E$24,MATCH($B$3,TOC!$E$5:$E$24,0),COLUMNS(TOC!N5))</f>
        <v>Exhibit: F</v>
      </c>
    </row>
    <row r="2" spans="2:19" x14ac:dyDescent="0.25">
      <c r="B2" s="23" t="str">
        <f>Targ_name</f>
        <v>WearOS Tech. Pvt. Ltd.</v>
      </c>
    </row>
    <row r="3" spans="2:19" x14ac:dyDescent="0.25">
      <c r="B3" s="24" t="str">
        <f>TOC!E13</f>
        <v>Trademark and Tradenames</v>
      </c>
    </row>
    <row r="4" spans="2:19" x14ac:dyDescent="0.25">
      <c r="B4" s="29" t="str">
        <f>"Valuation as of "&amp;TEXT(Val_date,"DD MMMM YYYY")</f>
        <v>Valuation as of 31 March 2020</v>
      </c>
    </row>
    <row r="5" spans="2:19" x14ac:dyDescent="0.25">
      <c r="B5" s="31" t="str">
        <f>'Key Inputs and Assumptions'!C24</f>
        <v>(in USD ‘000s unless specified otherwise)</v>
      </c>
    </row>
    <row r="7" spans="2:19" ht="27.95" customHeight="1" x14ac:dyDescent="0.25">
      <c r="B7" s="259" t="s">
        <v>203</v>
      </c>
      <c r="C7" s="260"/>
      <c r="D7" s="260"/>
      <c r="E7" s="260"/>
      <c r="F7" s="260"/>
      <c r="G7" s="102" t="s">
        <v>143</v>
      </c>
      <c r="H7" s="263" t="s">
        <v>0</v>
      </c>
      <c r="I7" s="263"/>
      <c r="J7" s="263"/>
      <c r="K7" s="263"/>
      <c r="L7" s="263"/>
      <c r="M7" s="263"/>
      <c r="N7" s="318" t="s">
        <v>1</v>
      </c>
    </row>
    <row r="8" spans="2:19" ht="15.75" thickBot="1" x14ac:dyDescent="0.3">
      <c r="B8" s="103"/>
      <c r="C8" s="104"/>
      <c r="D8" s="104"/>
      <c r="E8" s="105"/>
      <c r="F8" s="106"/>
      <c r="G8" s="138">
        <f>'Key Inputs and Assumptions'!C16</f>
        <v>44196</v>
      </c>
      <c r="H8" s="138">
        <f>G8+365</f>
        <v>44561</v>
      </c>
      <c r="I8" s="138">
        <f t="shared" ref="I8:M8" si="0">H8+365</f>
        <v>44926</v>
      </c>
      <c r="J8" s="138">
        <f t="shared" si="0"/>
        <v>45291</v>
      </c>
      <c r="K8" s="138">
        <f t="shared" si="0"/>
        <v>45656</v>
      </c>
      <c r="L8" s="138">
        <f t="shared" si="0"/>
        <v>46021</v>
      </c>
      <c r="M8" s="138">
        <f t="shared" si="0"/>
        <v>46386</v>
      </c>
      <c r="N8" s="107"/>
    </row>
    <row r="9" spans="2:19" ht="15.75" thickBot="1" x14ac:dyDescent="0.3">
      <c r="B9" s="122" t="s">
        <v>2</v>
      </c>
      <c r="C9" s="123"/>
      <c r="D9" s="110"/>
      <c r="E9" s="110"/>
      <c r="F9" s="110"/>
      <c r="G9" s="111">
        <f>PFI!D10</f>
        <v>4069</v>
      </c>
      <c r="H9" s="111">
        <f>PFI!E10</f>
        <v>6239</v>
      </c>
      <c r="I9" s="111">
        <f>PFI!F10</f>
        <v>7175</v>
      </c>
      <c r="J9" s="111">
        <f>PFI!G10</f>
        <v>7892</v>
      </c>
      <c r="K9" s="111">
        <f>PFI!H10</f>
        <v>8681</v>
      </c>
      <c r="L9" s="111">
        <f>PFI!I10</f>
        <v>9115</v>
      </c>
      <c r="M9" s="111">
        <f>PFI!J10</f>
        <v>9571</v>
      </c>
      <c r="N9" s="109">
        <f>M9*(1+LTGR)</f>
        <v>9858.130000000001</v>
      </c>
    </row>
    <row r="10" spans="2:19" ht="15.75" thickBot="1" x14ac:dyDescent="0.3">
      <c r="B10" s="122" t="s">
        <v>3</v>
      </c>
      <c r="C10" s="123"/>
      <c r="D10" s="123"/>
      <c r="E10" s="123"/>
      <c r="F10" s="137">
        <v>0.9</v>
      </c>
      <c r="G10" s="111">
        <f>$F$10*G9</f>
        <v>3662.1</v>
      </c>
      <c r="H10" s="111">
        <f t="shared" ref="H10:N10" si="1">$F$10*H9</f>
        <v>5615.1</v>
      </c>
      <c r="I10" s="111">
        <f t="shared" si="1"/>
        <v>6457.5</v>
      </c>
      <c r="J10" s="111">
        <f t="shared" si="1"/>
        <v>7102.8</v>
      </c>
      <c r="K10" s="111">
        <f t="shared" si="1"/>
        <v>7812.9000000000005</v>
      </c>
      <c r="L10" s="111">
        <f t="shared" si="1"/>
        <v>8203.5</v>
      </c>
      <c r="M10" s="111">
        <f t="shared" si="1"/>
        <v>8613.9</v>
      </c>
      <c r="N10" s="109">
        <f t="shared" si="1"/>
        <v>8872.3170000000009</v>
      </c>
    </row>
    <row r="11" spans="2:19" ht="15.75" thickBot="1" x14ac:dyDescent="0.3">
      <c r="B11" s="122" t="s">
        <v>119</v>
      </c>
      <c r="C11" s="123"/>
      <c r="D11" s="112"/>
      <c r="E11" s="113"/>
      <c r="F11" s="137">
        <v>1.4999999999999999E-2</v>
      </c>
      <c r="G11" s="111">
        <f>$F$11*G10</f>
        <v>54.9315</v>
      </c>
      <c r="H11" s="111">
        <f t="shared" ref="H11:N11" si="2">$F$11*H10</f>
        <v>84.226500000000001</v>
      </c>
      <c r="I11" s="111">
        <f t="shared" si="2"/>
        <v>96.862499999999997</v>
      </c>
      <c r="J11" s="111">
        <f t="shared" si="2"/>
        <v>106.542</v>
      </c>
      <c r="K11" s="111">
        <f t="shared" si="2"/>
        <v>117.1935</v>
      </c>
      <c r="L11" s="111">
        <f t="shared" si="2"/>
        <v>123.05249999999999</v>
      </c>
      <c r="M11" s="111">
        <f t="shared" si="2"/>
        <v>129.20849999999999</v>
      </c>
      <c r="N11" s="109">
        <f t="shared" si="2"/>
        <v>133.084755</v>
      </c>
    </row>
    <row r="12" spans="2:19" ht="15.75" thickBot="1" x14ac:dyDescent="0.3">
      <c r="B12" s="122" t="s">
        <v>120</v>
      </c>
      <c r="C12" s="123"/>
      <c r="D12" s="112"/>
      <c r="E12" s="113"/>
      <c r="F12" s="137">
        <v>0</v>
      </c>
      <c r="G12" s="111">
        <f>-$F$12*G10</f>
        <v>0</v>
      </c>
      <c r="H12" s="111">
        <f t="shared" ref="H12:N12" si="3">-$F$12*H10</f>
        <v>0</v>
      </c>
      <c r="I12" s="111">
        <f t="shared" si="3"/>
        <v>0</v>
      </c>
      <c r="J12" s="111">
        <f t="shared" si="3"/>
        <v>0</v>
      </c>
      <c r="K12" s="111">
        <f t="shared" si="3"/>
        <v>0</v>
      </c>
      <c r="L12" s="111">
        <f t="shared" si="3"/>
        <v>0</v>
      </c>
      <c r="M12" s="111">
        <f t="shared" si="3"/>
        <v>0</v>
      </c>
      <c r="N12" s="109">
        <f t="shared" si="3"/>
        <v>0</v>
      </c>
    </row>
    <row r="13" spans="2:19" ht="15.75" thickBot="1" x14ac:dyDescent="0.3">
      <c r="B13" s="122" t="s">
        <v>4</v>
      </c>
      <c r="C13" s="123"/>
      <c r="D13" s="112"/>
      <c r="E13" s="113"/>
      <c r="F13" s="137"/>
      <c r="G13" s="111">
        <f>SUM(G11:G12)</f>
        <v>54.9315</v>
      </c>
      <c r="H13" s="111">
        <f t="shared" ref="H13:N13" si="4">SUM(H11:H12)</f>
        <v>84.226500000000001</v>
      </c>
      <c r="I13" s="111">
        <f t="shared" si="4"/>
        <v>96.862499999999997</v>
      </c>
      <c r="J13" s="111">
        <f t="shared" si="4"/>
        <v>106.542</v>
      </c>
      <c r="K13" s="111">
        <f t="shared" si="4"/>
        <v>117.1935</v>
      </c>
      <c r="L13" s="111">
        <f t="shared" si="4"/>
        <v>123.05249999999999</v>
      </c>
      <c r="M13" s="111">
        <f t="shared" si="4"/>
        <v>129.20849999999999</v>
      </c>
      <c r="N13" s="109">
        <f t="shared" si="4"/>
        <v>133.084755</v>
      </c>
    </row>
    <row r="14" spans="2:19" ht="15.75" thickBot="1" x14ac:dyDescent="0.3">
      <c r="B14" s="122" t="s">
        <v>5</v>
      </c>
      <c r="C14" s="123"/>
      <c r="D14" s="112"/>
      <c r="E14" s="113"/>
      <c r="F14" s="136">
        <f>tax_rate</f>
        <v>0.26140000000000002</v>
      </c>
      <c r="G14" s="111">
        <f>-$F$14*G13</f>
        <v>-14.359094100000002</v>
      </c>
      <c r="H14" s="111">
        <f t="shared" ref="H14:N14" si="5">-$F$14*H13</f>
        <v>-22.016807100000001</v>
      </c>
      <c r="I14" s="111">
        <f t="shared" si="5"/>
        <v>-25.319857500000001</v>
      </c>
      <c r="J14" s="111">
        <f t="shared" si="5"/>
        <v>-27.850078800000002</v>
      </c>
      <c r="K14" s="111">
        <f t="shared" si="5"/>
        <v>-30.634380900000004</v>
      </c>
      <c r="L14" s="111">
        <f t="shared" si="5"/>
        <v>-32.165923499999998</v>
      </c>
      <c r="M14" s="111">
        <f t="shared" si="5"/>
        <v>-33.775101900000003</v>
      </c>
      <c r="N14" s="109">
        <f t="shared" si="5"/>
        <v>-34.788354957000003</v>
      </c>
    </row>
    <row r="15" spans="2:19" ht="15.75" thickBot="1" x14ac:dyDescent="0.3">
      <c r="B15" s="124" t="s">
        <v>6</v>
      </c>
      <c r="C15" s="125"/>
      <c r="D15" s="125"/>
      <c r="E15" s="116"/>
      <c r="F15" s="116"/>
      <c r="G15" s="130">
        <f>SUM(G13:G14)</f>
        <v>40.5724059</v>
      </c>
      <c r="H15" s="130">
        <f t="shared" ref="H15:N15" si="6">SUM(H13:H14)</f>
        <v>62.2096929</v>
      </c>
      <c r="I15" s="130">
        <f t="shared" si="6"/>
        <v>71.542642499999999</v>
      </c>
      <c r="J15" s="130">
        <f t="shared" si="6"/>
        <v>78.691921199999996</v>
      </c>
      <c r="K15" s="130">
        <f t="shared" si="6"/>
        <v>86.559119100000004</v>
      </c>
      <c r="L15" s="130">
        <f t="shared" si="6"/>
        <v>90.88657649999999</v>
      </c>
      <c r="M15" s="130">
        <f t="shared" si="6"/>
        <v>95.433398099999977</v>
      </c>
      <c r="N15" s="321">
        <f t="shared" si="6"/>
        <v>98.296400043000006</v>
      </c>
    </row>
    <row r="16" spans="2:19" ht="15.75" thickBot="1" x14ac:dyDescent="0.3">
      <c r="B16" s="117"/>
      <c r="C16" s="110"/>
      <c r="D16" s="110"/>
      <c r="E16" s="118"/>
      <c r="F16" s="118"/>
      <c r="G16" s="114"/>
      <c r="H16" s="114"/>
      <c r="I16" s="114"/>
      <c r="J16" s="114"/>
      <c r="K16" s="114"/>
      <c r="L16" s="114"/>
      <c r="M16" s="114"/>
      <c r="N16" s="322"/>
      <c r="Q16" t="s">
        <v>118</v>
      </c>
      <c r="S16">
        <v>15</v>
      </c>
    </row>
    <row r="17" spans="2:14" ht="15.75" thickBot="1" x14ac:dyDescent="0.3">
      <c r="B17" s="122" t="s">
        <v>7</v>
      </c>
      <c r="C17" s="123"/>
      <c r="D17" s="110"/>
      <c r="E17" s="118"/>
      <c r="F17" s="118"/>
      <c r="G17" s="114">
        <f>stub</f>
        <v>0.75</v>
      </c>
      <c r="H17" s="114">
        <f>YEARFRAC(G8,H8,0)</f>
        <v>1</v>
      </c>
      <c r="I17" s="114">
        <f t="shared" ref="I17:M17" si="7">YEARFRAC(H8,I8,0)</f>
        <v>1</v>
      </c>
      <c r="J17" s="114">
        <f t="shared" si="7"/>
        <v>1</v>
      </c>
      <c r="K17" s="114">
        <f t="shared" si="7"/>
        <v>1</v>
      </c>
      <c r="L17" s="114">
        <f t="shared" si="7"/>
        <v>1</v>
      </c>
      <c r="M17" s="114">
        <f t="shared" si="7"/>
        <v>1</v>
      </c>
      <c r="N17" s="322"/>
    </row>
    <row r="18" spans="2:14" ht="15.75" thickBot="1" x14ac:dyDescent="0.3">
      <c r="B18" s="122" t="s">
        <v>109</v>
      </c>
      <c r="C18" s="123"/>
      <c r="D18" s="110"/>
      <c r="E18" s="118"/>
      <c r="F18" s="118"/>
      <c r="G18" s="114">
        <f>G17</f>
        <v>0.75</v>
      </c>
      <c r="H18" s="114">
        <f>H17+G18</f>
        <v>1.75</v>
      </c>
      <c r="I18" s="114">
        <f t="shared" ref="I18:M18" si="8">I17+H18</f>
        <v>2.75</v>
      </c>
      <c r="J18" s="114">
        <f t="shared" si="8"/>
        <v>3.75</v>
      </c>
      <c r="K18" s="114">
        <f t="shared" si="8"/>
        <v>4.75</v>
      </c>
      <c r="L18" s="114">
        <f t="shared" si="8"/>
        <v>5.75</v>
      </c>
      <c r="M18" s="114">
        <f t="shared" si="8"/>
        <v>6.75</v>
      </c>
      <c r="N18" s="322"/>
    </row>
    <row r="19" spans="2:14" ht="15.75" thickBot="1" x14ac:dyDescent="0.3">
      <c r="B19" s="122" t="s">
        <v>8</v>
      </c>
      <c r="C19" s="123"/>
      <c r="D19" s="110"/>
      <c r="E19" s="118"/>
      <c r="F19" s="118"/>
      <c r="G19" s="114">
        <f>G17/2</f>
        <v>0.375</v>
      </c>
      <c r="H19" s="114">
        <f>G18+(H17/2)</f>
        <v>1.25</v>
      </c>
      <c r="I19" s="114">
        <f t="shared" ref="I19:M19" si="9">H18+(I17/2)</f>
        <v>2.25</v>
      </c>
      <c r="J19" s="114">
        <f t="shared" si="9"/>
        <v>3.25</v>
      </c>
      <c r="K19" s="114">
        <f t="shared" si="9"/>
        <v>4.25</v>
      </c>
      <c r="L19" s="114">
        <f t="shared" si="9"/>
        <v>5.25</v>
      </c>
      <c r="M19" s="114">
        <f t="shared" si="9"/>
        <v>6.25</v>
      </c>
      <c r="N19" s="322"/>
    </row>
    <row r="20" spans="2:14" ht="15.75" thickBot="1" x14ac:dyDescent="0.3">
      <c r="B20" s="122" t="s">
        <v>9</v>
      </c>
      <c r="C20" s="123"/>
      <c r="D20" s="110"/>
      <c r="E20" s="113"/>
      <c r="F20" s="136">
        <f>WACC!$G$23</f>
        <v>0.185</v>
      </c>
      <c r="G20" s="119">
        <f t="shared" ref="G20:M20" si="10">(1+$F$20)^-G19</f>
        <v>0.93833003660469871</v>
      </c>
      <c r="H20" s="119">
        <f t="shared" si="10"/>
        <v>0.80882033594802816</v>
      </c>
      <c r="I20" s="119">
        <f t="shared" si="10"/>
        <v>0.68254880670719675</v>
      </c>
      <c r="J20" s="119">
        <f t="shared" si="10"/>
        <v>0.57599055418328837</v>
      </c>
      <c r="K20" s="119">
        <f t="shared" si="10"/>
        <v>0.48606797821374537</v>
      </c>
      <c r="L20" s="119">
        <f t="shared" si="10"/>
        <v>0.41018394785970075</v>
      </c>
      <c r="M20" s="119">
        <f t="shared" si="10"/>
        <v>0.34614679144278543</v>
      </c>
      <c r="N20" s="322"/>
    </row>
    <row r="21" spans="2:14" x14ac:dyDescent="0.25">
      <c r="B21" s="126" t="s">
        <v>10</v>
      </c>
      <c r="C21" s="127"/>
      <c r="D21" s="127"/>
      <c r="E21" s="120"/>
      <c r="F21" s="121"/>
      <c r="G21" s="131">
        <f>G20*G15</f>
        <v>38.070307113287697</v>
      </c>
      <c r="H21" s="131">
        <f t="shared" ref="H21:M21" si="11">H20*H15</f>
        <v>50.316464710601664</v>
      </c>
      <c r="I21" s="131">
        <f t="shared" si="11"/>
        <v>48.83134526705458</v>
      </c>
      <c r="J21" s="131">
        <f t="shared" si="11"/>
        <v>45.325803301735654</v>
      </c>
      <c r="K21" s="131">
        <f t="shared" si="11"/>
        <v>42.073616016899791</v>
      </c>
      <c r="L21" s="131">
        <f t="shared" si="11"/>
        <v>37.280214756222698</v>
      </c>
      <c r="M21" s="131">
        <f t="shared" si="11"/>
        <v>33.033964548797009</v>
      </c>
      <c r="N21" s="323" t="s">
        <v>11</v>
      </c>
    </row>
    <row r="22" spans="2:14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5">
      <c r="B23" s="3" t="s">
        <v>113</v>
      </c>
      <c r="C23" s="3"/>
      <c r="D23" s="3"/>
      <c r="E23" s="3"/>
      <c r="F23" s="3"/>
      <c r="G23" s="100">
        <f>SUM(G21:M21)</f>
        <v>294.93171571459908</v>
      </c>
      <c r="H23" s="3"/>
      <c r="I23" s="3"/>
      <c r="J23" s="3"/>
      <c r="K23" s="3"/>
      <c r="L23" s="3"/>
      <c r="M23" s="3"/>
      <c r="N23" s="3"/>
    </row>
    <row r="24" spans="2:14" ht="15.75" thickBot="1" x14ac:dyDescent="0.3">
      <c r="B24" s="3" t="s">
        <v>114</v>
      </c>
      <c r="C24" s="3"/>
      <c r="D24" s="3"/>
      <c r="E24" s="3"/>
      <c r="F24" s="3"/>
      <c r="G24" s="132">
        <f>N27</f>
        <v>219.51602248555437</v>
      </c>
      <c r="H24" s="3"/>
      <c r="I24" s="3"/>
      <c r="J24" s="265" t="s">
        <v>110</v>
      </c>
      <c r="K24" s="266"/>
      <c r="L24" s="266"/>
      <c r="M24" s="266"/>
      <c r="N24" s="318"/>
    </row>
    <row r="25" spans="2:14" ht="15.75" thickBot="1" x14ac:dyDescent="0.3">
      <c r="B25" s="133" t="s">
        <v>115</v>
      </c>
      <c r="C25" s="133"/>
      <c r="D25" s="133"/>
      <c r="E25" s="133"/>
      <c r="F25" s="133"/>
      <c r="G25" s="134">
        <f>SUM(G23:G24)</f>
        <v>514.44773820015348</v>
      </c>
      <c r="H25" s="135"/>
      <c r="I25" s="135"/>
      <c r="J25" s="11" t="s">
        <v>6</v>
      </c>
      <c r="K25" s="110"/>
      <c r="L25" s="110"/>
      <c r="M25" s="110"/>
      <c r="N25" s="109">
        <f>N15</f>
        <v>98.296400043000006</v>
      </c>
    </row>
    <row r="26" spans="2:14" ht="15.75" thickBot="1" x14ac:dyDescent="0.3">
      <c r="B26" s="3" t="s">
        <v>116</v>
      </c>
      <c r="C26" s="3"/>
      <c r="D26" s="3"/>
      <c r="E26" s="3"/>
      <c r="F26" s="3"/>
      <c r="G26" s="100">
        <f>G25*($S$16/($S$16-((PV($F$20,$S$16,-1)*(1+$F$20)^0.5)*$F$14))-1)</f>
        <v>53.691670929368392</v>
      </c>
      <c r="H26" s="3"/>
      <c r="I26" s="3"/>
      <c r="J26" s="11" t="s">
        <v>112</v>
      </c>
      <c r="K26" s="110"/>
      <c r="L26" s="110"/>
      <c r="M26" s="110"/>
      <c r="N26" s="128">
        <f>F20-LTGR</f>
        <v>0.155</v>
      </c>
    </row>
    <row r="27" spans="2:14" ht="15.75" thickBot="1" x14ac:dyDescent="0.3">
      <c r="B27" s="133" t="s">
        <v>117</v>
      </c>
      <c r="C27" s="133"/>
      <c r="D27" s="133"/>
      <c r="E27" s="133"/>
      <c r="F27" s="133"/>
      <c r="G27" s="134">
        <f>ROUND(SUM(G25:G26),0)</f>
        <v>568</v>
      </c>
      <c r="H27" s="135"/>
      <c r="I27" s="135"/>
      <c r="J27" s="124" t="s">
        <v>111</v>
      </c>
      <c r="K27" s="125"/>
      <c r="L27" s="125"/>
      <c r="M27" s="125"/>
      <c r="N27" s="129">
        <f>(N25/N26)*M20</f>
        <v>219.51602248555437</v>
      </c>
    </row>
    <row r="28" spans="2:14" x14ac:dyDescent="0.25"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spans="2:14" x14ac:dyDescent="0.25"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spans="2:14" x14ac:dyDescent="0.25"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spans="2:14" x14ac:dyDescent="0.25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spans="2:14" x14ac:dyDescent="0.25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spans="2:14" x14ac:dyDescent="0.25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spans="2:14" x14ac:dyDescent="0.25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spans="2:14" x14ac:dyDescent="0.25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</row>
    <row r="36" spans="2:14" x14ac:dyDescent="0.25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</row>
    <row r="37" spans="2:14" x14ac:dyDescent="0.25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</row>
    <row r="38" spans="2:14" x14ac:dyDescent="0.25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39" spans="2:14" x14ac:dyDescent="0.25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spans="2:14" x14ac:dyDescent="0.25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spans="2:14" x14ac:dyDescent="0.25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</row>
    <row r="42" spans="2:14" x14ac:dyDescent="0.25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</row>
    <row r="43" spans="2:14" x14ac:dyDescent="0.25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</row>
  </sheetData>
  <mergeCells count="3">
    <mergeCell ref="J24:M24"/>
    <mergeCell ref="B7:F7"/>
    <mergeCell ref="H7:M7"/>
  </mergeCells>
  <pageMargins left="0.5" right="0.5" top="0.5" bottom="0.5" header="0.5" footer="0.5"/>
  <pageSetup fitToHeight="0" orientation="landscape" r:id="rId1"/>
  <headerFooter>
    <oddFooter>&amp;L&amp;G&amp;R&amp;"Arial,Regular"&amp;10&amp;K616161acuitykp.com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tabSelected="1" view="pageBreakPreview" zoomScaleNormal="100" zoomScaleSheetLayoutView="100" workbookViewId="0">
      <selection activeCell="J13" sqref="J13"/>
    </sheetView>
  </sheetViews>
  <sheetFormatPr defaultRowHeight="15" outlineLevelRow="1" x14ac:dyDescent="0.25"/>
  <cols>
    <col min="1" max="1" width="3.5703125" customWidth="1"/>
    <col min="2" max="2" width="12.140625" customWidth="1"/>
    <col min="5" max="8" width="8.7109375" customWidth="1"/>
    <col min="10" max="10" width="12.140625" customWidth="1"/>
    <col min="12" max="15" width="8.7109375" customWidth="1"/>
    <col min="16" max="16" width="2.7109375" customWidth="1"/>
  </cols>
  <sheetData>
    <row r="1" spans="2:15" ht="15.75" x14ac:dyDescent="0.25">
      <c r="B1" s="22" t="str">
        <f>Acq_name</f>
        <v>Acquisition Holdings Ltd.</v>
      </c>
      <c r="H1" s="83" t="str">
        <f>"Exhibit: "&amp;INDEX(TOC!$B$5:$E$24,MATCH($B$3,TOC!$E$5:$E$24,0),COLUMNS(TOC!J5))</f>
        <v>Exhibit: G</v>
      </c>
      <c r="O1" s="83"/>
    </row>
    <row r="2" spans="2:15" x14ac:dyDescent="0.25">
      <c r="B2" s="23" t="str">
        <f>Targ_name</f>
        <v>WearOS Tech. Pvt. Ltd.</v>
      </c>
    </row>
    <row r="3" spans="2:15" x14ac:dyDescent="0.25">
      <c r="B3" s="24" t="str">
        <f>TOC!E14</f>
        <v>Non-Compete Agreements</v>
      </c>
    </row>
    <row r="4" spans="2:15" x14ac:dyDescent="0.25">
      <c r="B4" s="29" t="str">
        <f>"Valuation as of "&amp;TEXT(Val_date,"DD MMMM YYYY")</f>
        <v>Valuation as of 31 March 2020</v>
      </c>
    </row>
    <row r="5" spans="2:15" x14ac:dyDescent="0.25">
      <c r="B5" s="31" t="str">
        <f>'Key Inputs and Assumptions'!C24</f>
        <v>(in USD ‘000s unless specified otherwise)</v>
      </c>
    </row>
    <row r="7" spans="2:15" ht="15.75" thickBot="1" x14ac:dyDescent="0.3">
      <c r="B7" s="161" t="s">
        <v>137</v>
      </c>
      <c r="C7" s="162"/>
      <c r="D7" s="162"/>
    </row>
    <row r="8" spans="2:15" ht="15.75" thickBot="1" x14ac:dyDescent="0.3">
      <c r="B8" s="11" t="s">
        <v>141</v>
      </c>
      <c r="C8" s="271" t="s">
        <v>193</v>
      </c>
      <c r="D8" s="96">
        <v>0.15</v>
      </c>
    </row>
    <row r="9" spans="2:15" x14ac:dyDescent="0.25">
      <c r="B9" s="88" t="s">
        <v>138</v>
      </c>
      <c r="C9" s="270" t="s">
        <v>194</v>
      </c>
      <c r="D9" s="96">
        <v>-6.8000000000000005E-2</v>
      </c>
    </row>
    <row r="11" spans="2:15" ht="27.95" customHeight="1" x14ac:dyDescent="0.25">
      <c r="B11" s="343"/>
      <c r="C11" s="344"/>
      <c r="D11" s="345"/>
      <c r="E11" s="101" t="s">
        <v>146</v>
      </c>
      <c r="F11" s="262" t="s">
        <v>237</v>
      </c>
      <c r="G11" s="263"/>
      <c r="H11" s="160" t="s">
        <v>148</v>
      </c>
      <c r="J11" s="343"/>
      <c r="K11" s="344"/>
      <c r="L11" s="101" t="s">
        <v>146</v>
      </c>
      <c r="M11" s="262" t="s">
        <v>237</v>
      </c>
      <c r="N11" s="263"/>
      <c r="O11" s="160" t="s">
        <v>148</v>
      </c>
    </row>
    <row r="12" spans="2:15" ht="15.75" thickBot="1" x14ac:dyDescent="0.3">
      <c r="B12" s="346" t="s">
        <v>129</v>
      </c>
      <c r="C12" s="105"/>
      <c r="D12" s="106"/>
      <c r="E12" s="138">
        <f>'Key Inputs and Assumptions'!$C$16</f>
        <v>44196</v>
      </c>
      <c r="F12" s="138">
        <f>E12+365</f>
        <v>44561</v>
      </c>
      <c r="G12" s="138">
        <f t="shared" ref="G12" si="0">F12+365</f>
        <v>44926</v>
      </c>
      <c r="H12" s="157">
        <f>EOMONTH(G12,3)</f>
        <v>45016</v>
      </c>
      <c r="J12" s="346" t="s">
        <v>129</v>
      </c>
      <c r="K12" s="138"/>
      <c r="L12" s="138">
        <f>'Key Inputs and Assumptions'!$C$16</f>
        <v>44196</v>
      </c>
      <c r="M12" s="138">
        <f>L12+365</f>
        <v>44561</v>
      </c>
      <c r="N12" s="138">
        <f t="shared" ref="N12" si="1">M12+365</f>
        <v>44926</v>
      </c>
      <c r="O12" s="157">
        <f>EOMONTH(N12,3)</f>
        <v>45016</v>
      </c>
    </row>
    <row r="13" spans="2:15" ht="15.75" thickBot="1" x14ac:dyDescent="0.3">
      <c r="B13" s="152" t="s">
        <v>129</v>
      </c>
      <c r="C13" s="110"/>
      <c r="D13" s="110"/>
      <c r="E13" s="111"/>
      <c r="F13" s="111"/>
      <c r="G13" s="111"/>
      <c r="H13" s="109"/>
      <c r="J13" s="153" t="s">
        <v>130</v>
      </c>
    </row>
    <row r="14" spans="2:15" ht="15.75" customHeight="1" thickBot="1" x14ac:dyDescent="0.3">
      <c r="B14" s="122" t="s">
        <v>67</v>
      </c>
      <c r="C14" s="110"/>
      <c r="D14" s="110"/>
      <c r="E14" s="111">
        <f>IRR!G9</f>
        <v>4069</v>
      </c>
      <c r="F14" s="111">
        <f>IRR!H9</f>
        <v>6239</v>
      </c>
      <c r="G14" s="111">
        <f>IRR!I9</f>
        <v>7175</v>
      </c>
      <c r="H14" s="109">
        <f>IRR!J9*(1-stub)</f>
        <v>1973</v>
      </c>
      <c r="J14" s="122" t="s">
        <v>67</v>
      </c>
      <c r="L14" s="111">
        <f>E14*(1+$D$9)</f>
        <v>3792.3079999999995</v>
      </c>
      <c r="M14" s="111">
        <f>F14*(1+$D$9)</f>
        <v>5814.7479999999996</v>
      </c>
      <c r="N14" s="111">
        <f>G14*(1+$D$9)</f>
        <v>6687.0999999999995</v>
      </c>
      <c r="O14" s="109">
        <f>H14*(1+$D$9)</f>
        <v>1838.8359999999998</v>
      </c>
    </row>
    <row r="15" spans="2:15" ht="15.75" customHeight="1" thickBot="1" x14ac:dyDescent="0.3">
      <c r="B15" s="139" t="s">
        <v>70</v>
      </c>
      <c r="E15" s="142">
        <f>E14*E$43</f>
        <v>912</v>
      </c>
      <c r="F15" s="142">
        <f>F14*F$43</f>
        <v>1418</v>
      </c>
      <c r="G15" s="142">
        <f>G14*G$43</f>
        <v>1688</v>
      </c>
      <c r="H15" s="158">
        <f>H14*H$43</f>
        <v>411</v>
      </c>
      <c r="J15" s="139" t="s">
        <v>70</v>
      </c>
      <c r="L15" s="142">
        <f>L14*E$43</f>
        <v>849.98399999999992</v>
      </c>
      <c r="M15" s="142">
        <f>M14*F43</f>
        <v>1321.5759999999998</v>
      </c>
      <c r="N15" s="142">
        <f>N14*G43</f>
        <v>1573.2159999999999</v>
      </c>
      <c r="O15" s="158">
        <f>O14*H43</f>
        <v>383.05199999999996</v>
      </c>
    </row>
    <row r="16" spans="2:15" ht="15.75" customHeight="1" thickBot="1" x14ac:dyDescent="0.3">
      <c r="B16" s="11" t="s">
        <v>142</v>
      </c>
      <c r="C16" s="170"/>
      <c r="D16" s="170"/>
      <c r="E16" s="111">
        <f>-E14*E$45</f>
        <v>-145.1</v>
      </c>
      <c r="F16" s="111">
        <f>-F14*F$45</f>
        <v>-217.8</v>
      </c>
      <c r="G16" s="111">
        <f>-G14*G$45</f>
        <v>-253.5</v>
      </c>
      <c r="H16" s="111">
        <f>-H14*H$45</f>
        <v>-68.75</v>
      </c>
      <c r="J16" s="11" t="s">
        <v>142</v>
      </c>
      <c r="L16" s="111">
        <f>-L14*E$45</f>
        <v>-135.23319999999998</v>
      </c>
      <c r="M16" s="111">
        <f>-M14*F45</f>
        <v>-202.9896</v>
      </c>
      <c r="N16" s="111">
        <f>-N14*G45</f>
        <v>-236.26199999999997</v>
      </c>
      <c r="O16" s="111">
        <f>-O14*H45</f>
        <v>-64.074999999999989</v>
      </c>
    </row>
    <row r="17" spans="2:15" ht="15.75" customHeight="1" thickBot="1" x14ac:dyDescent="0.3">
      <c r="B17" s="139" t="s">
        <v>73</v>
      </c>
      <c r="C17" s="170"/>
      <c r="D17" s="170"/>
      <c r="E17" s="142">
        <f>SUM(E15:E16)</f>
        <v>766.9</v>
      </c>
      <c r="F17" s="142">
        <f t="shared" ref="F17:H17" si="2">SUM(F15:F16)</f>
        <v>1200.2</v>
      </c>
      <c r="G17" s="142">
        <f t="shared" si="2"/>
        <v>1434.5</v>
      </c>
      <c r="H17" s="158">
        <f t="shared" si="2"/>
        <v>342.25</v>
      </c>
      <c r="J17" s="139" t="s">
        <v>73</v>
      </c>
      <c r="L17" s="142">
        <f>SUM(L15:L16)</f>
        <v>714.75079999999991</v>
      </c>
      <c r="M17" s="142">
        <f>SUM(M15:M16)</f>
        <v>1118.5863999999997</v>
      </c>
      <c r="N17" s="142">
        <f>SUM(N15:N16)</f>
        <v>1336.954</v>
      </c>
      <c r="O17" s="158">
        <f>SUM(O15:O16)</f>
        <v>318.97699999999998</v>
      </c>
    </row>
    <row r="18" spans="2:15" ht="15.75" customHeight="1" thickBot="1" x14ac:dyDescent="0.3">
      <c r="B18" s="11" t="s">
        <v>188</v>
      </c>
      <c r="C18" s="170"/>
      <c r="D18" s="136">
        <f>IRR!F19</f>
        <v>0.26140000000000002</v>
      </c>
      <c r="E18" s="111">
        <f>$D$18*-E17</f>
        <v>-200.46766000000002</v>
      </c>
      <c r="F18" s="111">
        <f>$D$18*-F17</f>
        <v>-313.73228000000006</v>
      </c>
      <c r="G18" s="111">
        <f>$D$18*-G17</f>
        <v>-374.97830000000005</v>
      </c>
      <c r="H18" s="109">
        <f>$D$18*-H17</f>
        <v>-89.464150000000004</v>
      </c>
      <c r="J18" s="11" t="s">
        <v>188</v>
      </c>
      <c r="L18" s="111">
        <f>$D$18*-L17</f>
        <v>-186.83585911999998</v>
      </c>
      <c r="M18" s="111">
        <f>$D$18*-M17</f>
        <v>-292.39848495999996</v>
      </c>
      <c r="N18" s="111">
        <f>$D$18*-N17</f>
        <v>-349.47977560000004</v>
      </c>
      <c r="O18" s="109">
        <f>$D$18*-O17</f>
        <v>-83.380587800000001</v>
      </c>
    </row>
    <row r="19" spans="2:15" ht="15.75" customHeight="1" thickBot="1" x14ac:dyDescent="0.3">
      <c r="B19" s="139" t="s">
        <v>75</v>
      </c>
      <c r="C19" s="170"/>
      <c r="D19" s="170"/>
      <c r="E19" s="142">
        <f>SUM(E17:E18)</f>
        <v>566.43233999999995</v>
      </c>
      <c r="F19" s="142">
        <f t="shared" ref="F19:H19" si="3">SUM(F17:F18)</f>
        <v>886.46771999999999</v>
      </c>
      <c r="G19" s="142">
        <f t="shared" si="3"/>
        <v>1059.5217</v>
      </c>
      <c r="H19" s="158">
        <f t="shared" si="3"/>
        <v>252.78584999999998</v>
      </c>
      <c r="J19" s="139" t="s">
        <v>75</v>
      </c>
      <c r="L19" s="142">
        <f>SUM(L17:L18)</f>
        <v>527.9149408799999</v>
      </c>
      <c r="M19" s="142">
        <f>SUM(M17:M18)</f>
        <v>826.18791503999978</v>
      </c>
      <c r="N19" s="142">
        <f>SUM(N17:N18)</f>
        <v>987.47422439999991</v>
      </c>
      <c r="O19" s="158">
        <f>SUM(O17:O18)</f>
        <v>235.59641219999997</v>
      </c>
    </row>
    <row r="20" spans="2:15" ht="15.75" customHeight="1" thickBot="1" x14ac:dyDescent="0.3">
      <c r="B20" s="11" t="s">
        <v>124</v>
      </c>
      <c r="C20" s="170"/>
      <c r="D20" s="170"/>
      <c r="E20" s="111">
        <f>-E16</f>
        <v>145.1</v>
      </c>
      <c r="F20" s="111">
        <f>-F16</f>
        <v>217.8</v>
      </c>
      <c r="G20" s="111">
        <f>-G16</f>
        <v>253.5</v>
      </c>
      <c r="H20" s="109">
        <f>-H16</f>
        <v>68.75</v>
      </c>
      <c r="J20" s="11" t="s">
        <v>124</v>
      </c>
      <c r="L20" s="111">
        <f>-L16</f>
        <v>135.23319999999998</v>
      </c>
      <c r="M20" s="111">
        <f>-M16</f>
        <v>202.9896</v>
      </c>
      <c r="N20" s="111">
        <f>-N16</f>
        <v>236.26199999999997</v>
      </c>
      <c r="O20" s="109">
        <f>-O16</f>
        <v>64.074999999999989</v>
      </c>
    </row>
    <row r="21" spans="2:15" ht="15.75" customHeight="1" thickBot="1" x14ac:dyDescent="0.3">
      <c r="B21" s="11" t="s">
        <v>238</v>
      </c>
      <c r="C21" s="170"/>
      <c r="D21" s="170"/>
      <c r="E21" s="171"/>
      <c r="F21" s="171"/>
      <c r="G21" s="171"/>
      <c r="H21" s="172"/>
      <c r="J21" s="11" t="s">
        <v>238</v>
      </c>
      <c r="L21" s="111">
        <f>IRR!G23/IRR!G9*L14</f>
        <v>101.56314666666668</v>
      </c>
      <c r="M21" s="111">
        <f>(M14-(L14/stub))*-F46</f>
        <v>-60.666986666666709</v>
      </c>
      <c r="N21" s="111">
        <f>(N14-M14)*-G46</f>
        <v>-69.788159999999991</v>
      </c>
      <c r="O21" s="109">
        <f>(O14-N14)*-H46</f>
        <v>387.86111999999997</v>
      </c>
    </row>
    <row r="22" spans="2:15" ht="15.75" customHeight="1" thickBot="1" x14ac:dyDescent="0.3">
      <c r="B22" s="11" t="s">
        <v>106</v>
      </c>
      <c r="C22" s="170"/>
      <c r="D22" s="170"/>
      <c r="E22" s="171">
        <f>E14*-E$47</f>
        <v>-162.76</v>
      </c>
      <c r="F22" s="171">
        <f>F14*-F$47</f>
        <v>-249.56</v>
      </c>
      <c r="G22" s="171">
        <f>G14*-G$47</f>
        <v>-287</v>
      </c>
      <c r="H22" s="172">
        <f>H14*-H$47</f>
        <v>-78.92</v>
      </c>
      <c r="J22" s="11" t="s">
        <v>106</v>
      </c>
      <c r="L22" s="111">
        <f>L14*-E$47</f>
        <v>-151.69232</v>
      </c>
      <c r="M22" s="111">
        <f>M14*-F$47</f>
        <v>-232.58991999999998</v>
      </c>
      <c r="N22" s="111">
        <f>N14*-G$47</f>
        <v>-267.48399999999998</v>
      </c>
      <c r="O22" s="109">
        <f>O14*-H$47</f>
        <v>-73.553439999999995</v>
      </c>
    </row>
    <row r="23" spans="2:15" ht="15.75" customHeight="1" thickBot="1" x14ac:dyDescent="0.3">
      <c r="B23" s="117" t="s">
        <v>127</v>
      </c>
      <c r="C23" s="170"/>
      <c r="D23" s="170"/>
      <c r="E23" s="142">
        <f>IRR!G31</f>
        <v>618.75230016475336</v>
      </c>
      <c r="F23" s="142">
        <f>IRR!H31</f>
        <v>644.08691153703705</v>
      </c>
      <c r="G23" s="142">
        <f>IRR!I31</f>
        <v>659.17113444613892</v>
      </c>
      <c r="H23" s="158">
        <f>(IRR!J31)</f>
        <v>537.64604530517784</v>
      </c>
      <c r="J23" s="117" t="s">
        <v>127</v>
      </c>
      <c r="L23" s="142">
        <f>SUM(L19:L22)</f>
        <v>613.01896754666666</v>
      </c>
      <c r="M23" s="142">
        <f>SUM(M19:M22)</f>
        <v>735.92060837333315</v>
      </c>
      <c r="N23" s="142">
        <f>SUM(N19:N22)</f>
        <v>886.46406439999987</v>
      </c>
      <c r="O23" s="158">
        <f>SUM(O19:O22)</f>
        <v>613.97909219999985</v>
      </c>
    </row>
    <row r="24" spans="2:15" ht="15.75" customHeight="1" thickBot="1" x14ac:dyDescent="0.3">
      <c r="C24" s="170"/>
      <c r="D24" s="170"/>
    </row>
    <row r="25" spans="2:15" ht="15.75" thickBot="1" x14ac:dyDescent="0.3">
      <c r="C25" s="143"/>
      <c r="D25" s="143"/>
      <c r="O25" s="340"/>
    </row>
    <row r="26" spans="2:15" ht="15.75" hidden="1" outlineLevel="1" thickBot="1" x14ac:dyDescent="0.3">
      <c r="B26" s="122" t="s">
        <v>7</v>
      </c>
      <c r="C26" s="118"/>
      <c r="D26" s="118"/>
      <c r="E26" s="114">
        <f>stub</f>
        <v>0.75</v>
      </c>
      <c r="F26" s="114">
        <f>YEARFRAC(E12,F12,0)</f>
        <v>1</v>
      </c>
      <c r="G26" s="114">
        <f>YEARFRAC(F12,G12,0)</f>
        <v>1</v>
      </c>
      <c r="H26" s="115">
        <f>YEARFRAC(G12,H12,0)</f>
        <v>0.25</v>
      </c>
      <c r="O26" s="145"/>
    </row>
    <row r="27" spans="2:15" ht="15.75" hidden="1" outlineLevel="1" thickBot="1" x14ac:dyDescent="0.3">
      <c r="B27" s="122" t="s">
        <v>109</v>
      </c>
      <c r="C27" s="118"/>
      <c r="D27" s="118"/>
      <c r="E27" s="114">
        <f>E26</f>
        <v>0.75</v>
      </c>
      <c r="F27" s="114">
        <f>F26+E27</f>
        <v>1.75</v>
      </c>
      <c r="G27" s="114">
        <f t="shared" ref="G27:H27" si="4">G26+F27</f>
        <v>2.75</v>
      </c>
      <c r="H27" s="115">
        <f t="shared" si="4"/>
        <v>3</v>
      </c>
      <c r="O27" s="145"/>
    </row>
    <row r="28" spans="2:15" ht="15.75" hidden="1" outlineLevel="1" thickBot="1" x14ac:dyDescent="0.3">
      <c r="B28" s="122" t="s">
        <v>8</v>
      </c>
      <c r="C28" s="118"/>
      <c r="D28" s="118"/>
      <c r="E28" s="114">
        <f>E26/2</f>
        <v>0.375</v>
      </c>
      <c r="F28" s="114">
        <f>E27+(F26/2)</f>
        <v>1.25</v>
      </c>
      <c r="G28" s="114">
        <f t="shared" ref="G28:H28" si="5">F27+(G26/2)</f>
        <v>2.25</v>
      </c>
      <c r="H28" s="115">
        <f t="shared" si="5"/>
        <v>2.875</v>
      </c>
      <c r="O28" s="145"/>
    </row>
    <row r="29" spans="2:15" ht="15.75" collapsed="1" thickBot="1" x14ac:dyDescent="0.3">
      <c r="B29" s="122" t="s">
        <v>9</v>
      </c>
      <c r="C29" s="113"/>
      <c r="D29" s="136">
        <f>WACC!$G$23</f>
        <v>0.185</v>
      </c>
      <c r="E29" s="119">
        <f>(1+$D$29)^-E28</f>
        <v>0.93833003660469871</v>
      </c>
      <c r="F29" s="119">
        <f>(1+$D$29)^-F28</f>
        <v>0.80882033594802816</v>
      </c>
      <c r="G29" s="119">
        <f>(1+$D$29)^-G28</f>
        <v>0.68254880670719675</v>
      </c>
      <c r="H29" s="148">
        <f>(1+$D$29)^-H28</f>
        <v>0.61384644177807846</v>
      </c>
      <c r="O29" s="341"/>
    </row>
    <row r="30" spans="2:15" ht="15.75" thickBot="1" x14ac:dyDescent="0.3">
      <c r="B30" s="117" t="s">
        <v>149</v>
      </c>
      <c r="C30" s="143"/>
      <c r="D30" s="143"/>
      <c r="E30" s="142">
        <f>L23*E29</f>
        <v>575.21411025743839</v>
      </c>
      <c r="F30" s="142">
        <f>M23*F29</f>
        <v>595.22755369559661</v>
      </c>
      <c r="G30" s="142">
        <f>N23*G29</f>
        <v>605.05498934503157</v>
      </c>
      <c r="H30" s="158">
        <f>O23*H29</f>
        <v>376.8888810731047</v>
      </c>
      <c r="O30" s="340"/>
    </row>
    <row r="31" spans="2:15" ht="15.75" thickBot="1" x14ac:dyDescent="0.3">
      <c r="B31" s="156"/>
      <c r="C31" s="166"/>
      <c r="D31" s="167"/>
      <c r="E31" s="168"/>
      <c r="F31" s="168"/>
      <c r="G31" s="168"/>
      <c r="H31" s="169"/>
      <c r="O31" s="341"/>
    </row>
    <row r="32" spans="2:15" x14ac:dyDescent="0.25">
      <c r="B32" s="126" t="s">
        <v>10</v>
      </c>
      <c r="C32" s="120"/>
      <c r="D32" s="121"/>
      <c r="E32" s="131">
        <f>E23-E30</f>
        <v>43.538189907314973</v>
      </c>
      <c r="F32" s="131">
        <f>F23-F30</f>
        <v>48.859357841440442</v>
      </c>
      <c r="G32" s="131">
        <f>G23-G30</f>
        <v>54.11614510110735</v>
      </c>
      <c r="H32" s="149">
        <f>H23-H30</f>
        <v>160.75716423207314</v>
      </c>
      <c r="O32" s="342"/>
    </row>
    <row r="33" spans="1:20" x14ac:dyDescent="0.25">
      <c r="B33" s="3"/>
      <c r="C33" s="3"/>
      <c r="D33" s="3"/>
      <c r="E33" s="100"/>
      <c r="F33" s="100"/>
      <c r="G33" s="100"/>
      <c r="H33" s="100"/>
      <c r="O33" s="100"/>
    </row>
    <row r="34" spans="1:20" ht="15.75" thickBot="1" x14ac:dyDescent="0.3">
      <c r="B34" s="3"/>
      <c r="C34" s="3"/>
      <c r="D34" s="3"/>
      <c r="E34" s="100"/>
      <c r="F34" s="100"/>
      <c r="G34" s="100"/>
      <c r="H34" s="100"/>
      <c r="O34" s="100"/>
    </row>
    <row r="35" spans="1:20" ht="15.75" thickBot="1" x14ac:dyDescent="0.3">
      <c r="B35" s="11" t="s">
        <v>113</v>
      </c>
      <c r="C35" s="118"/>
      <c r="D35" s="118"/>
      <c r="E35" s="146">
        <f>SUM(E32:H32)</f>
        <v>307.2708570819359</v>
      </c>
      <c r="F35" s="100"/>
      <c r="G35" s="100"/>
      <c r="H35" s="100"/>
      <c r="O35" s="100"/>
    </row>
    <row r="36" spans="1:20" ht="15.75" thickBot="1" x14ac:dyDescent="0.3">
      <c r="B36" s="11" t="s">
        <v>141</v>
      </c>
      <c r="C36" s="118"/>
      <c r="D36" s="271"/>
      <c r="E36" s="159">
        <v>0.15</v>
      </c>
      <c r="F36" s="3"/>
      <c r="G36" s="3"/>
      <c r="H36" s="3"/>
      <c r="O36" s="3"/>
    </row>
    <row r="37" spans="1:20" ht="15.75" thickBot="1" x14ac:dyDescent="0.3">
      <c r="B37" s="117" t="s">
        <v>115</v>
      </c>
      <c r="C37" s="143"/>
      <c r="D37" s="143"/>
      <c r="E37" s="147">
        <f>E36*E35</f>
        <v>46.090628562290384</v>
      </c>
      <c r="F37" s="135"/>
      <c r="G37" s="135"/>
      <c r="H37" s="135"/>
      <c r="O37" s="135"/>
    </row>
    <row r="38" spans="1:20" ht="15.75" thickBot="1" x14ac:dyDescent="0.3">
      <c r="B38" s="11" t="s">
        <v>116</v>
      </c>
      <c r="C38" s="118"/>
      <c r="D38" s="118"/>
      <c r="E38" s="146">
        <f>E37*($T$38/($T$38-((PV($D$29,$T$38,-1)*(1+$D$29)^0.5)*$D$18))-1)</f>
        <v>4.8103678526261318</v>
      </c>
      <c r="F38" s="3"/>
      <c r="G38" s="3"/>
      <c r="H38" s="3"/>
      <c r="I38" t="s">
        <v>118</v>
      </c>
      <c r="O38" s="3"/>
      <c r="R38" t="s">
        <v>118</v>
      </c>
      <c r="T38">
        <v>15</v>
      </c>
    </row>
    <row r="39" spans="1:20" ht="15.75" thickBot="1" x14ac:dyDescent="0.3">
      <c r="B39" s="117" t="s">
        <v>117</v>
      </c>
      <c r="C39" s="143"/>
      <c r="D39" s="143"/>
      <c r="E39" s="147">
        <f>ROUND(SUM(E37:E38),0)</f>
        <v>51</v>
      </c>
      <c r="F39" s="135"/>
      <c r="G39" s="135"/>
      <c r="H39" s="135"/>
      <c r="O39" s="135"/>
    </row>
    <row r="40" spans="1:20" x14ac:dyDescent="0.25">
      <c r="A40" s="30"/>
      <c r="B40" s="178"/>
      <c r="C40" s="179"/>
      <c r="D40" s="179"/>
      <c r="E40" s="144"/>
      <c r="F40" s="150"/>
      <c r="G40" s="108"/>
      <c r="H40" s="108"/>
      <c r="O40" s="108"/>
    </row>
    <row r="41" spans="1:20" x14ac:dyDescent="0.25">
      <c r="B41" s="108"/>
      <c r="C41" s="108"/>
      <c r="D41" s="108"/>
      <c r="E41" s="108"/>
      <c r="F41" s="108"/>
      <c r="G41" s="108"/>
      <c r="H41" s="108"/>
      <c r="O41" s="108"/>
    </row>
    <row r="42" spans="1:20" x14ac:dyDescent="0.25">
      <c r="B42" s="161" t="s">
        <v>137</v>
      </c>
      <c r="C42" s="162"/>
      <c r="D42" s="162"/>
      <c r="E42" s="162">
        <f>'Key Inputs and Assumptions'!$C$16</f>
        <v>44196</v>
      </c>
      <c r="F42" s="162">
        <f>E42+365</f>
        <v>44561</v>
      </c>
      <c r="G42" s="162">
        <f t="shared" ref="G42:H42" si="6">F42+365</f>
        <v>44926</v>
      </c>
      <c r="H42" s="163">
        <f t="shared" si="6"/>
        <v>45291</v>
      </c>
      <c r="I42" s="100"/>
      <c r="J42" s="100"/>
      <c r="K42" s="100"/>
      <c r="L42" s="100"/>
      <c r="M42" s="100"/>
      <c r="N42" s="100"/>
      <c r="O42" s="299"/>
      <c r="R42" s="100"/>
      <c r="S42" s="3"/>
    </row>
    <row r="43" spans="1:20" x14ac:dyDescent="0.25">
      <c r="B43" s="88" t="s">
        <v>79</v>
      </c>
      <c r="C43" s="94"/>
      <c r="D43" s="94"/>
      <c r="E43" s="95">
        <f>IRR!G46</f>
        <v>0.22413369378225609</v>
      </c>
      <c r="F43" s="95">
        <f>IRR!H46</f>
        <v>0.22728001282256771</v>
      </c>
      <c r="G43" s="95">
        <f>IRR!I46</f>
        <v>0.23526132404181185</v>
      </c>
      <c r="H43" s="97">
        <f>IRR!J46</f>
        <v>0.20831221490116575</v>
      </c>
      <c r="I43" s="100"/>
      <c r="J43" s="100"/>
      <c r="K43" s="100"/>
      <c r="L43" s="100"/>
      <c r="M43" s="100"/>
      <c r="N43" s="100"/>
      <c r="O43" s="246"/>
      <c r="R43" s="100"/>
      <c r="S43" s="100"/>
    </row>
    <row r="44" spans="1:20" x14ac:dyDescent="0.25">
      <c r="B44" s="88" t="s">
        <v>139</v>
      </c>
      <c r="C44" s="94"/>
      <c r="D44" s="94"/>
      <c r="E44" s="95">
        <f>-IRR!G45</f>
        <v>0.56721553207176212</v>
      </c>
      <c r="F44" s="95">
        <f>-IRR!H45</f>
        <v>0.56307100496874496</v>
      </c>
      <c r="G44" s="95">
        <f>-IRR!I45</f>
        <v>0.56404181184668989</v>
      </c>
      <c r="H44" s="97">
        <f>-IRR!J45</f>
        <v>0.59047136340598072</v>
      </c>
      <c r="O44" s="246"/>
    </row>
    <row r="45" spans="1:20" x14ac:dyDescent="0.25">
      <c r="B45" s="88" t="s">
        <v>71</v>
      </c>
      <c r="C45" s="94"/>
      <c r="D45" s="94"/>
      <c r="E45" s="95">
        <f>-IRR!G47</f>
        <v>3.5659867289260259E-2</v>
      </c>
      <c r="F45" s="95">
        <f>-IRR!H47</f>
        <v>3.4909440615483255E-2</v>
      </c>
      <c r="G45" s="95">
        <f>-IRR!I47</f>
        <v>3.5331010452961671E-2</v>
      </c>
      <c r="H45" s="97">
        <f>-IRR!J47</f>
        <v>3.4845413076533195E-2</v>
      </c>
      <c r="O45" s="246"/>
    </row>
    <row r="46" spans="1:20" x14ac:dyDescent="0.25">
      <c r="B46" s="88" t="s">
        <v>140</v>
      </c>
      <c r="C46" s="94"/>
      <c r="D46" s="94"/>
      <c r="E46" s="95">
        <f>PFI!C25</f>
        <v>0.08</v>
      </c>
      <c r="F46" s="95">
        <f>E46</f>
        <v>0.08</v>
      </c>
      <c r="G46" s="95">
        <f t="shared" ref="G46:H47" si="7">F46</f>
        <v>0.08</v>
      </c>
      <c r="H46" s="97">
        <f t="shared" si="7"/>
        <v>0.08</v>
      </c>
      <c r="O46" s="246"/>
    </row>
    <row r="47" spans="1:20" x14ac:dyDescent="0.25">
      <c r="B47" s="88" t="s">
        <v>106</v>
      </c>
      <c r="C47" s="94"/>
      <c r="D47" s="94"/>
      <c r="E47" s="95">
        <f>PFI!C24</f>
        <v>0.04</v>
      </c>
      <c r="F47" s="95">
        <f>E47</f>
        <v>0.04</v>
      </c>
      <c r="G47" s="95">
        <f t="shared" si="7"/>
        <v>0.04</v>
      </c>
      <c r="H47" s="97">
        <f t="shared" si="7"/>
        <v>0.04</v>
      </c>
      <c r="O47" s="246"/>
    </row>
    <row r="48" spans="1:20" x14ac:dyDescent="0.25">
      <c r="B48" s="108"/>
      <c r="C48" s="108"/>
      <c r="D48" s="108"/>
      <c r="E48" s="108"/>
      <c r="F48" s="108"/>
      <c r="G48" s="108"/>
      <c r="H48" s="108"/>
      <c r="O48" s="108"/>
    </row>
    <row r="49" spans="2:15" x14ac:dyDescent="0.25">
      <c r="B49" s="108"/>
      <c r="C49" s="108"/>
      <c r="D49" s="108"/>
      <c r="E49" s="108"/>
      <c r="F49" s="108"/>
      <c r="G49" s="108"/>
      <c r="H49" s="108"/>
      <c r="O49" s="108"/>
    </row>
    <row r="50" spans="2:15" x14ac:dyDescent="0.25">
      <c r="B50" s="108"/>
      <c r="C50" s="108"/>
      <c r="D50" s="108"/>
      <c r="E50" s="108"/>
      <c r="F50" s="108"/>
      <c r="G50" s="108"/>
      <c r="H50" s="108"/>
      <c r="O50" s="108"/>
    </row>
    <row r="51" spans="2:15" x14ac:dyDescent="0.25">
      <c r="B51" s="108"/>
      <c r="C51" s="108"/>
      <c r="D51" s="108"/>
      <c r="E51" s="108"/>
      <c r="F51" s="108"/>
      <c r="G51" s="108"/>
      <c r="H51" s="108"/>
      <c r="O51" s="108"/>
    </row>
    <row r="52" spans="2:15" x14ac:dyDescent="0.25">
      <c r="B52" s="253" t="s">
        <v>198</v>
      </c>
      <c r="C52" s="108"/>
      <c r="D52" s="108"/>
      <c r="E52" s="108"/>
      <c r="F52" s="108"/>
      <c r="G52" s="108"/>
      <c r="H52" s="108"/>
      <c r="O52" s="108"/>
    </row>
    <row r="53" spans="2:15" x14ac:dyDescent="0.25">
      <c r="B53" s="253" t="str">
        <f>C8&amp;" Source: Prime rate"</f>
        <v>(a) Source: Prime rate</v>
      </c>
      <c r="C53" s="108"/>
      <c r="D53" s="108"/>
      <c r="E53" s="108"/>
      <c r="F53" s="108"/>
      <c r="G53" s="108"/>
      <c r="H53" s="108"/>
      <c r="O53" s="108"/>
    </row>
    <row r="54" spans="2:15" x14ac:dyDescent="0.25">
      <c r="B54" s="254" t="str">
        <f>C9&amp;" Based on assumed Debt/Equity Structure of "&amp;Targ_name</f>
        <v>(b) Based on assumed Debt/Equity Structure of WearOS Tech. Pvt. Ltd.</v>
      </c>
      <c r="C54" s="108"/>
      <c r="D54" s="108"/>
      <c r="E54" s="108"/>
      <c r="F54" s="108"/>
      <c r="G54" s="108"/>
      <c r="H54" s="108"/>
      <c r="O54" s="108"/>
    </row>
    <row r="55" spans="2:15" x14ac:dyDescent="0.25">
      <c r="B55" s="108"/>
      <c r="C55" s="108"/>
      <c r="D55" s="108"/>
      <c r="E55" s="108"/>
      <c r="F55" s="108"/>
      <c r="G55" s="108"/>
      <c r="H55" s="108"/>
      <c r="O55" s="108"/>
    </row>
    <row r="56" spans="2:15" x14ac:dyDescent="0.25">
      <c r="B56" s="108"/>
      <c r="C56" s="108"/>
      <c r="D56" s="108"/>
      <c r="E56" s="108"/>
      <c r="F56" s="108"/>
      <c r="G56" s="108"/>
      <c r="H56" s="108"/>
      <c r="O56" s="108"/>
    </row>
    <row r="57" spans="2:15" x14ac:dyDescent="0.25">
      <c r="B57" s="108"/>
      <c r="C57" s="108"/>
      <c r="D57" s="108"/>
      <c r="E57" s="108"/>
      <c r="F57" s="108"/>
      <c r="G57" s="108"/>
      <c r="H57" s="108"/>
      <c r="O57" s="108"/>
    </row>
  </sheetData>
  <mergeCells count="2">
    <mergeCell ref="F11:G11"/>
    <mergeCell ref="M11:N11"/>
  </mergeCells>
  <pageMargins left="0.5" right="0.5" top="0.5" bottom="0.5" header="0.5" footer="0.5"/>
  <pageSetup scale="95" fitToHeight="0" orientation="landscape" r:id="rId1"/>
  <headerFooter>
    <oddFooter>&amp;L&amp;G&amp;R&amp;"Arial,Regular"&amp;10&amp;K616161acuitykp.com</oddFooter>
  </headerFooter>
  <rowBreaks count="1" manualBreakCount="1">
    <brk id="33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view="pageBreakPreview" zoomScaleNormal="100" zoomScaleSheetLayoutView="100" workbookViewId="0">
      <selection activeCell="I5" sqref="I5"/>
    </sheetView>
  </sheetViews>
  <sheetFormatPr defaultRowHeight="15" x14ac:dyDescent="0.25"/>
  <cols>
    <col min="1" max="1" width="3.5703125" customWidth="1"/>
    <col min="5" max="5" width="7.5703125" customWidth="1"/>
    <col min="6" max="6" width="11" customWidth="1"/>
    <col min="7" max="13" width="10.7109375" customWidth="1"/>
    <col min="14" max="14" width="2.7109375" customWidth="1"/>
  </cols>
  <sheetData>
    <row r="1" spans="1:13" ht="15.75" x14ac:dyDescent="0.25">
      <c r="B1" s="22" t="str">
        <f>Acq_name</f>
        <v>Acquisition Holdings Ltd.</v>
      </c>
      <c r="M1" s="83" t="str">
        <f>"Exhibit: "&amp;INDEX(TOC!$B$5:$E$24,MATCH($B$3,TOC!$E$5:$E$24,0),COLUMNS(TOC!M5))</f>
        <v>Exhibit: H</v>
      </c>
    </row>
    <row r="2" spans="1:13" x14ac:dyDescent="0.25">
      <c r="B2" s="23" t="str">
        <f>Targ_name</f>
        <v>WearOS Tech. Pvt. Ltd.</v>
      </c>
    </row>
    <row r="3" spans="1:13" x14ac:dyDescent="0.25">
      <c r="B3" s="24" t="str">
        <f>TOC!E15</f>
        <v>Developed Technology</v>
      </c>
    </row>
    <row r="4" spans="1:13" x14ac:dyDescent="0.25">
      <c r="B4" s="29" t="str">
        <f>"Valuation as of "&amp;TEXT(Val_date,"DD MMMM YYYY")</f>
        <v>Valuation as of 31 March 2020</v>
      </c>
    </row>
    <row r="5" spans="1:13" x14ac:dyDescent="0.25">
      <c r="B5" s="31" t="str">
        <f>'Key Inputs and Assumptions'!C24</f>
        <v>(in USD ‘000s unless specified otherwise)</v>
      </c>
    </row>
    <row r="7" spans="1:13" x14ac:dyDescent="0.25">
      <c r="B7" s="235" t="s">
        <v>180</v>
      </c>
      <c r="C7" s="235"/>
      <c r="D7" s="13"/>
      <c r="E7" s="13"/>
      <c r="F7" s="236">
        <v>6</v>
      </c>
      <c r="G7" s="237"/>
      <c r="H7" s="237"/>
      <c r="I7" s="237"/>
      <c r="J7" s="237"/>
      <c r="K7" s="237"/>
      <c r="L7" s="237"/>
      <c r="M7" s="237"/>
    </row>
    <row r="8" spans="1:13" x14ac:dyDescent="0.25">
      <c r="B8" s="235" t="s">
        <v>182</v>
      </c>
      <c r="C8" s="235"/>
      <c r="D8" s="13"/>
      <c r="E8" s="13"/>
      <c r="F8" s="238">
        <v>0.16700000000000001</v>
      </c>
      <c r="G8" s="237"/>
      <c r="H8" s="237"/>
      <c r="I8" s="237"/>
      <c r="J8" s="237"/>
      <c r="K8" s="237"/>
      <c r="L8" s="237"/>
      <c r="M8" s="237"/>
    </row>
    <row r="9" spans="1:13" ht="15.75" thickBot="1" x14ac:dyDescent="0.3">
      <c r="A9" s="30"/>
      <c r="B9" s="154"/>
      <c r="C9" s="154"/>
      <c r="D9" s="154"/>
      <c r="E9" s="154"/>
      <c r="F9" s="234"/>
      <c r="G9" s="155"/>
      <c r="H9" s="155"/>
      <c r="I9" s="155"/>
      <c r="J9" s="155"/>
      <c r="K9" s="155"/>
      <c r="L9" s="155"/>
      <c r="M9" s="155"/>
    </row>
    <row r="10" spans="1:13" x14ac:dyDescent="0.25">
      <c r="B10" s="259" t="s">
        <v>181</v>
      </c>
      <c r="C10" s="260"/>
      <c r="D10" s="260"/>
      <c r="E10" s="260"/>
      <c r="F10" s="261"/>
      <c r="G10" s="101" t="s">
        <v>143</v>
      </c>
      <c r="H10" s="262" t="s">
        <v>0</v>
      </c>
      <c r="I10" s="263"/>
      <c r="J10" s="263"/>
      <c r="K10" s="263"/>
      <c r="L10" s="263"/>
      <c r="M10" s="264"/>
    </row>
    <row r="11" spans="1:13" ht="15.75" thickBot="1" x14ac:dyDescent="0.3">
      <c r="B11" s="103"/>
      <c r="C11" s="104"/>
      <c r="D11" s="104"/>
      <c r="E11" s="105"/>
      <c r="F11" s="106"/>
      <c r="G11" s="138">
        <f>'Key Inputs and Assumptions'!C16</f>
        <v>44196</v>
      </c>
      <c r="H11" s="138">
        <f t="shared" ref="H11:M11" si="0">G11+365</f>
        <v>44561</v>
      </c>
      <c r="I11" s="138">
        <f t="shared" si="0"/>
        <v>44926</v>
      </c>
      <c r="J11" s="138">
        <f t="shared" si="0"/>
        <v>45291</v>
      </c>
      <c r="K11" s="138">
        <f t="shared" si="0"/>
        <v>45656</v>
      </c>
      <c r="L11" s="138">
        <f t="shared" si="0"/>
        <v>46021</v>
      </c>
      <c r="M11" s="138">
        <f t="shared" si="0"/>
        <v>46386</v>
      </c>
    </row>
    <row r="12" spans="1:13" ht="15.75" thickBot="1" x14ac:dyDescent="0.3">
      <c r="B12" s="122" t="s">
        <v>183</v>
      </c>
      <c r="C12" s="123"/>
      <c r="D12" s="123"/>
      <c r="E12" s="123"/>
      <c r="F12" s="137"/>
      <c r="G12" s="136">
        <v>1</v>
      </c>
      <c r="H12" s="136">
        <f>G13</f>
        <v>0.87475000000000003</v>
      </c>
      <c r="I12" s="136">
        <f t="shared" ref="I12:M12" si="1">H13</f>
        <v>0.70774999999999999</v>
      </c>
      <c r="J12" s="136">
        <f t="shared" si="1"/>
        <v>0.54074999999999995</v>
      </c>
      <c r="K12" s="136">
        <f t="shared" si="1"/>
        <v>0.37374999999999992</v>
      </c>
      <c r="L12" s="136">
        <f t="shared" si="1"/>
        <v>0.20674999999999991</v>
      </c>
      <c r="M12" s="136">
        <f t="shared" si="1"/>
        <v>3.9749999999999897E-2</v>
      </c>
    </row>
    <row r="13" spans="1:13" ht="15.75" thickBot="1" x14ac:dyDescent="0.3">
      <c r="B13" s="122" t="s">
        <v>184</v>
      </c>
      <c r="C13" s="123"/>
      <c r="D13" s="123"/>
      <c r="E13" s="123"/>
      <c r="F13" s="137"/>
      <c r="G13" s="136">
        <f>G12-(F8*stub)</f>
        <v>0.87475000000000003</v>
      </c>
      <c r="H13" s="136">
        <f>H12-$F$8</f>
        <v>0.70774999999999999</v>
      </c>
      <c r="I13" s="136">
        <f t="shared" ref="I13:L13" si="2">I12-$F$8</f>
        <v>0.54074999999999995</v>
      </c>
      <c r="J13" s="136">
        <f t="shared" si="2"/>
        <v>0.37374999999999992</v>
      </c>
      <c r="K13" s="136">
        <f t="shared" si="2"/>
        <v>0.20674999999999991</v>
      </c>
      <c r="L13" s="136">
        <f t="shared" si="2"/>
        <v>3.9749999999999897E-2</v>
      </c>
      <c r="M13" s="136">
        <v>0</v>
      </c>
    </row>
    <row r="14" spans="1:13" ht="15.75" thickBot="1" x14ac:dyDescent="0.3">
      <c r="B14" s="139" t="s">
        <v>185</v>
      </c>
      <c r="C14" s="140"/>
      <c r="D14" s="140"/>
      <c r="E14" s="140"/>
      <c r="F14" s="239"/>
      <c r="G14" s="240">
        <f>AVERAGE(G12:G13)</f>
        <v>0.93737500000000007</v>
      </c>
      <c r="H14" s="240">
        <f t="shared" ref="H14:M14" si="3">AVERAGE(H12:H13)</f>
        <v>0.79125000000000001</v>
      </c>
      <c r="I14" s="240">
        <f t="shared" si="3"/>
        <v>0.62424999999999997</v>
      </c>
      <c r="J14" s="240">
        <f t="shared" si="3"/>
        <v>0.45724999999999993</v>
      </c>
      <c r="K14" s="240">
        <f t="shared" si="3"/>
        <v>0.2902499999999999</v>
      </c>
      <c r="L14" s="240">
        <f t="shared" si="3"/>
        <v>0.1232499999999999</v>
      </c>
      <c r="M14" s="240">
        <f t="shared" si="3"/>
        <v>1.9874999999999948E-2</v>
      </c>
    </row>
    <row r="15" spans="1:13" ht="2.1" customHeight="1" thickBot="1" x14ac:dyDescent="0.3">
      <c r="B15" s="139"/>
      <c r="C15" s="140"/>
      <c r="D15" s="140"/>
      <c r="E15" s="140"/>
      <c r="F15" s="239"/>
      <c r="G15" s="240"/>
      <c r="H15" s="240"/>
      <c r="I15" s="240"/>
      <c r="J15" s="240"/>
      <c r="K15" s="240"/>
      <c r="L15" s="240"/>
      <c r="M15" s="240"/>
    </row>
    <row r="16" spans="1:13" ht="15.75" thickBot="1" x14ac:dyDescent="0.3">
      <c r="B16" s="122" t="s">
        <v>2</v>
      </c>
      <c r="C16" s="123"/>
      <c r="D16" s="110"/>
      <c r="E16" s="110"/>
      <c r="F16" s="110"/>
      <c r="G16" s="111">
        <f>PFI!D10</f>
        <v>4069</v>
      </c>
      <c r="H16" s="111">
        <f>PFI!E10</f>
        <v>6239</v>
      </c>
      <c r="I16" s="111">
        <f>PFI!F10</f>
        <v>7175</v>
      </c>
      <c r="J16" s="111">
        <f>PFI!G10</f>
        <v>7892</v>
      </c>
      <c r="K16" s="111">
        <f>PFI!H10</f>
        <v>8681</v>
      </c>
      <c r="L16" s="111">
        <f>PFI!I10</f>
        <v>9115</v>
      </c>
      <c r="M16" s="111">
        <f>PFI!J10</f>
        <v>9571</v>
      </c>
    </row>
    <row r="17" spans="2:13" ht="15.75" thickBot="1" x14ac:dyDescent="0.3">
      <c r="B17" s="122" t="s">
        <v>186</v>
      </c>
      <c r="C17" s="123"/>
      <c r="D17" s="123"/>
      <c r="E17" s="123"/>
      <c r="F17" s="137">
        <v>0.1</v>
      </c>
      <c r="G17" s="111">
        <f>$F$17*G16</f>
        <v>406.90000000000003</v>
      </c>
      <c r="H17" s="111">
        <f t="shared" ref="H17:M17" si="4">$F$17*H16</f>
        <v>623.90000000000009</v>
      </c>
      <c r="I17" s="111">
        <f t="shared" si="4"/>
        <v>717.5</v>
      </c>
      <c r="J17" s="111">
        <f t="shared" si="4"/>
        <v>789.2</v>
      </c>
      <c r="K17" s="111">
        <f t="shared" si="4"/>
        <v>868.1</v>
      </c>
      <c r="L17" s="111">
        <f t="shared" si="4"/>
        <v>911.5</v>
      </c>
      <c r="M17" s="111">
        <f t="shared" si="4"/>
        <v>957.1</v>
      </c>
    </row>
    <row r="18" spans="2:13" ht="15.75" thickBot="1" x14ac:dyDescent="0.3">
      <c r="B18" s="241" t="s">
        <v>187</v>
      </c>
      <c r="C18" s="123"/>
      <c r="D18" s="123"/>
      <c r="E18" s="123"/>
      <c r="F18" s="137"/>
      <c r="G18" s="111">
        <f>G17*G14</f>
        <v>381.41788750000006</v>
      </c>
      <c r="H18" s="111">
        <f t="shared" ref="H18:M18" si="5">H17*H14</f>
        <v>493.66087500000009</v>
      </c>
      <c r="I18" s="111">
        <f t="shared" si="5"/>
        <v>447.89937499999996</v>
      </c>
      <c r="J18" s="111">
        <f t="shared" si="5"/>
        <v>360.86169999999998</v>
      </c>
      <c r="K18" s="111">
        <f t="shared" si="5"/>
        <v>251.96602499999992</v>
      </c>
      <c r="L18" s="111">
        <f t="shared" si="5"/>
        <v>112.3423749999999</v>
      </c>
      <c r="M18" s="111">
        <f t="shared" si="5"/>
        <v>19.02236249999995</v>
      </c>
    </row>
    <row r="19" spans="2:13" ht="15.75" customHeight="1" thickBot="1" x14ac:dyDescent="0.3">
      <c r="B19" s="139" t="s">
        <v>70</v>
      </c>
      <c r="C19" s="140"/>
      <c r="D19" s="123"/>
      <c r="E19" s="123"/>
      <c r="F19" s="137"/>
      <c r="G19" s="111">
        <f t="shared" ref="G19:M19" si="6">G18*G40</f>
        <v>85.488600000000019</v>
      </c>
      <c r="H19" s="111">
        <f t="shared" si="6"/>
        <v>112.19925000000002</v>
      </c>
      <c r="I19" s="111">
        <f t="shared" si="6"/>
        <v>105.37339999999999</v>
      </c>
      <c r="J19" s="111">
        <f t="shared" si="6"/>
        <v>75.171900000000008</v>
      </c>
      <c r="K19" s="111">
        <f t="shared" si="6"/>
        <v>40.809149999999988</v>
      </c>
      <c r="L19" s="111">
        <f t="shared" si="6"/>
        <v>17.994499999999984</v>
      </c>
      <c r="M19" s="111">
        <f t="shared" si="6"/>
        <v>2.9832374999999924</v>
      </c>
    </row>
    <row r="20" spans="2:13" ht="15.75" customHeight="1" thickBot="1" x14ac:dyDescent="0.3">
      <c r="B20" s="11" t="s">
        <v>142</v>
      </c>
      <c r="C20" s="110"/>
      <c r="D20" s="123"/>
      <c r="E20" s="123"/>
      <c r="F20" s="137"/>
      <c r="G20" s="111">
        <f t="shared" ref="G20:M20" si="7">G18*G41</f>
        <v>-13.601311250000002</v>
      </c>
      <c r="H20" s="111">
        <f t="shared" si="7"/>
        <v>-17.233425000000004</v>
      </c>
      <c r="I20" s="111">
        <f t="shared" si="7"/>
        <v>-15.824737499999998</v>
      </c>
      <c r="J20" s="111">
        <f t="shared" si="7"/>
        <v>-12.574374999999998</v>
      </c>
      <c r="K20" s="111">
        <f t="shared" si="7"/>
        <v>-9.578249999999997</v>
      </c>
      <c r="L20" s="111">
        <f t="shared" si="7"/>
        <v>-4.2521249999999968</v>
      </c>
      <c r="M20" s="111">
        <f t="shared" si="7"/>
        <v>-0.7274249999999981</v>
      </c>
    </row>
    <row r="21" spans="2:13" ht="15.75" customHeight="1" thickBot="1" x14ac:dyDescent="0.3">
      <c r="B21" s="139" t="s">
        <v>73</v>
      </c>
      <c r="C21" s="123"/>
      <c r="D21" s="123"/>
      <c r="E21" s="123"/>
      <c r="F21" s="137"/>
      <c r="G21" s="111">
        <f>SUM(G19:G20)</f>
        <v>71.88728875000001</v>
      </c>
      <c r="H21" s="111">
        <f t="shared" ref="H21:M21" si="8">SUM(H19:H20)</f>
        <v>94.965825000000024</v>
      </c>
      <c r="I21" s="111">
        <f t="shared" si="8"/>
        <v>89.548662499999992</v>
      </c>
      <c r="J21" s="111">
        <f t="shared" si="8"/>
        <v>62.597525000000012</v>
      </c>
      <c r="K21" s="111">
        <f t="shared" si="8"/>
        <v>31.230899999999991</v>
      </c>
      <c r="L21" s="111">
        <f t="shared" si="8"/>
        <v>13.742374999999988</v>
      </c>
      <c r="M21" s="111">
        <f t="shared" si="8"/>
        <v>2.2558124999999944</v>
      </c>
    </row>
    <row r="22" spans="2:13" ht="15.75" customHeight="1" thickBot="1" x14ac:dyDescent="0.3">
      <c r="B22" s="11" t="s">
        <v>188</v>
      </c>
      <c r="C22" s="123"/>
      <c r="D22" s="123"/>
      <c r="E22" s="123"/>
      <c r="F22" s="136">
        <f>tax_rate</f>
        <v>0.26140000000000002</v>
      </c>
      <c r="G22" s="111">
        <f t="shared" ref="G22:M22" si="9">-$F$22*G21</f>
        <v>-18.791337279250005</v>
      </c>
      <c r="H22" s="111">
        <f t="shared" si="9"/>
        <v>-24.82406665500001</v>
      </c>
      <c r="I22" s="111">
        <f t="shared" si="9"/>
        <v>-23.408020377500002</v>
      </c>
      <c r="J22" s="111">
        <f t="shared" si="9"/>
        <v>-16.362993035000006</v>
      </c>
      <c r="K22" s="111">
        <f t="shared" si="9"/>
        <v>-8.1637572599999988</v>
      </c>
      <c r="L22" s="111">
        <f t="shared" si="9"/>
        <v>-3.5922568249999971</v>
      </c>
      <c r="M22" s="111">
        <f t="shared" si="9"/>
        <v>-0.58966938749999864</v>
      </c>
    </row>
    <row r="23" spans="2:13" ht="15.75" customHeight="1" thickBot="1" x14ac:dyDescent="0.3">
      <c r="B23" s="139" t="s">
        <v>75</v>
      </c>
      <c r="C23" s="123"/>
      <c r="D23" s="112"/>
      <c r="E23" s="113"/>
      <c r="G23" s="1">
        <f>SUM(G21:G22)</f>
        <v>53.095951470750009</v>
      </c>
      <c r="H23" s="1">
        <f t="shared" ref="H23:M23" si="10">SUM(H21:H22)</f>
        <v>70.141758345000014</v>
      </c>
      <c r="I23" s="1">
        <f t="shared" si="10"/>
        <v>66.140642122499997</v>
      </c>
      <c r="J23" s="1">
        <f t="shared" si="10"/>
        <v>46.234531965000002</v>
      </c>
      <c r="K23" s="1">
        <f t="shared" si="10"/>
        <v>23.067142739999994</v>
      </c>
      <c r="L23" s="1">
        <f t="shared" si="10"/>
        <v>10.150118174999992</v>
      </c>
      <c r="M23" s="1">
        <f t="shared" si="10"/>
        <v>1.6661431124999959</v>
      </c>
    </row>
    <row r="24" spans="2:13" ht="15.75" thickBot="1" x14ac:dyDescent="0.3">
      <c r="B24" s="11" t="s">
        <v>124</v>
      </c>
      <c r="C24" s="123"/>
      <c r="D24" s="112"/>
      <c r="E24" s="113"/>
      <c r="F24" s="137"/>
      <c r="G24" s="111">
        <f>-G20</f>
        <v>13.601311250000002</v>
      </c>
      <c r="H24" s="111">
        <f t="shared" ref="H24:M24" si="11">-H20</f>
        <v>17.233425000000004</v>
      </c>
      <c r="I24" s="111">
        <f t="shared" si="11"/>
        <v>15.824737499999998</v>
      </c>
      <c r="J24" s="111">
        <f t="shared" si="11"/>
        <v>12.574374999999998</v>
      </c>
      <c r="K24" s="111">
        <f t="shared" si="11"/>
        <v>9.578249999999997</v>
      </c>
      <c r="L24" s="111">
        <f t="shared" si="11"/>
        <v>4.2521249999999968</v>
      </c>
      <c r="M24" s="111">
        <f t="shared" si="11"/>
        <v>0.7274249999999981</v>
      </c>
    </row>
    <row r="25" spans="2:13" ht="15.75" thickBot="1" x14ac:dyDescent="0.3">
      <c r="B25" s="11" t="s">
        <v>189</v>
      </c>
      <c r="C25" s="123"/>
      <c r="D25" s="123"/>
      <c r="E25" s="123"/>
      <c r="F25" s="137">
        <v>1.9E-2</v>
      </c>
      <c r="G25" s="111">
        <f>-$F25*G18</f>
        <v>-7.2469398625000014</v>
      </c>
      <c r="H25" s="111">
        <f t="shared" ref="H25:M25" si="12">-$F25*H18</f>
        <v>-9.3795566250000011</v>
      </c>
      <c r="I25" s="111">
        <f t="shared" si="12"/>
        <v>-8.5100881249999993</v>
      </c>
      <c r="J25" s="111">
        <f t="shared" si="12"/>
        <v>-6.8563722999999994</v>
      </c>
      <c r="K25" s="111">
        <f t="shared" si="12"/>
        <v>-4.7873544749999981</v>
      </c>
      <c r="L25" s="111">
        <f t="shared" si="12"/>
        <v>-2.1345051249999982</v>
      </c>
      <c r="M25" s="111">
        <f t="shared" si="12"/>
        <v>-0.36142488749999907</v>
      </c>
    </row>
    <row r="26" spans="2:13" ht="15.75" thickBot="1" x14ac:dyDescent="0.3">
      <c r="B26" s="11" t="s">
        <v>126</v>
      </c>
      <c r="G26" s="111">
        <f>G18*-G42</f>
        <v>-15.256715500000002</v>
      </c>
      <c r="H26" s="111">
        <f t="shared" ref="H26:M26" si="13">H18*-H42</f>
        <v>-19.746435000000005</v>
      </c>
      <c r="I26" s="111">
        <f t="shared" si="13"/>
        <v>-17.915975</v>
      </c>
      <c r="J26" s="111">
        <f t="shared" si="13"/>
        <v>-14.434467999999999</v>
      </c>
      <c r="K26" s="111">
        <f t="shared" si="13"/>
        <v>-10.078640999999998</v>
      </c>
      <c r="L26" s="111">
        <f t="shared" si="13"/>
        <v>-4.4936949999999962</v>
      </c>
      <c r="M26" s="111">
        <f t="shared" si="13"/>
        <v>-0.76089449999999803</v>
      </c>
    </row>
    <row r="27" spans="2:13" ht="15.75" customHeight="1" thickBot="1" x14ac:dyDescent="0.3">
      <c r="B27" s="124" t="s">
        <v>6</v>
      </c>
      <c r="C27" s="125"/>
      <c r="D27" s="125"/>
      <c r="E27" s="116"/>
      <c r="F27" s="116"/>
      <c r="G27" s="130">
        <f>SUM(G23:G26)</f>
        <v>44.19360735825002</v>
      </c>
      <c r="H27" s="130">
        <f t="shared" ref="H27:M27" si="14">SUM(H23:H26)</f>
        <v>58.249191719999999</v>
      </c>
      <c r="I27" s="130">
        <f t="shared" si="14"/>
        <v>55.539316497499996</v>
      </c>
      <c r="J27" s="130">
        <f t="shared" si="14"/>
        <v>37.518066665000006</v>
      </c>
      <c r="K27" s="130">
        <f t="shared" si="14"/>
        <v>17.779397264999997</v>
      </c>
      <c r="L27" s="130">
        <f t="shared" si="14"/>
        <v>7.7740430499999933</v>
      </c>
      <c r="M27" s="130">
        <f t="shared" si="14"/>
        <v>1.2712487249999966</v>
      </c>
    </row>
    <row r="28" spans="2:13" ht="2.1" customHeight="1" thickBot="1" x14ac:dyDescent="0.3">
      <c r="B28" s="117"/>
      <c r="C28" s="110"/>
      <c r="D28" s="110"/>
      <c r="E28" s="118"/>
      <c r="F28" s="118"/>
      <c r="G28" s="114"/>
      <c r="H28" s="114"/>
      <c r="I28" s="114"/>
      <c r="J28" s="114"/>
      <c r="K28" s="114"/>
      <c r="L28" s="114"/>
      <c r="M28" s="114"/>
    </row>
    <row r="29" spans="2:13" ht="15.75" customHeight="1" thickBot="1" x14ac:dyDescent="0.3">
      <c r="B29" s="122" t="s">
        <v>7</v>
      </c>
      <c r="C29" s="123"/>
      <c r="D29" s="110"/>
      <c r="E29" s="118"/>
      <c r="F29" s="118"/>
      <c r="G29" s="114">
        <f>stub</f>
        <v>0.75</v>
      </c>
      <c r="H29" s="114">
        <f t="shared" ref="H29:M29" si="15">YEARFRAC(G11,H11,0)</f>
        <v>1</v>
      </c>
      <c r="I29" s="114">
        <f t="shared" si="15"/>
        <v>1</v>
      </c>
      <c r="J29" s="114">
        <f t="shared" si="15"/>
        <v>1</v>
      </c>
      <c r="K29" s="114">
        <f t="shared" si="15"/>
        <v>1</v>
      </c>
      <c r="L29" s="114">
        <f t="shared" si="15"/>
        <v>1</v>
      </c>
      <c r="M29" s="114">
        <f t="shared" si="15"/>
        <v>1</v>
      </c>
    </row>
    <row r="30" spans="2:13" ht="15.75" thickBot="1" x14ac:dyDescent="0.3">
      <c r="B30" s="122" t="s">
        <v>109</v>
      </c>
      <c r="C30" s="123"/>
      <c r="D30" s="110"/>
      <c r="E30" s="118"/>
      <c r="F30" s="118"/>
      <c r="G30" s="114">
        <f>G29</f>
        <v>0.75</v>
      </c>
      <c r="H30" s="114">
        <f>H29+G30</f>
        <v>1.75</v>
      </c>
      <c r="I30" s="114">
        <f t="shared" ref="I30:M30" si="16">I29+H30</f>
        <v>2.75</v>
      </c>
      <c r="J30" s="114">
        <f t="shared" si="16"/>
        <v>3.75</v>
      </c>
      <c r="K30" s="114">
        <f t="shared" si="16"/>
        <v>4.75</v>
      </c>
      <c r="L30" s="114">
        <f t="shared" si="16"/>
        <v>5.75</v>
      </c>
      <c r="M30" s="114">
        <f t="shared" si="16"/>
        <v>6.75</v>
      </c>
    </row>
    <row r="31" spans="2:13" ht="15.75" thickBot="1" x14ac:dyDescent="0.3">
      <c r="B31" s="122" t="s">
        <v>8</v>
      </c>
      <c r="C31" s="123"/>
      <c r="D31" s="110"/>
      <c r="E31" s="118"/>
      <c r="F31" s="118"/>
      <c r="G31" s="114">
        <f>G29/2</f>
        <v>0.375</v>
      </c>
      <c r="H31" s="114">
        <f>G30+(H29/2)</f>
        <v>1.25</v>
      </c>
      <c r="I31" s="114">
        <f t="shared" ref="I31:M31" si="17">H30+(I29/2)</f>
        <v>2.25</v>
      </c>
      <c r="J31" s="114">
        <f t="shared" si="17"/>
        <v>3.25</v>
      </c>
      <c r="K31" s="114">
        <f t="shared" si="17"/>
        <v>4.25</v>
      </c>
      <c r="L31" s="114">
        <f t="shared" si="17"/>
        <v>5.25</v>
      </c>
      <c r="M31" s="114">
        <f t="shared" si="17"/>
        <v>6.25</v>
      </c>
    </row>
    <row r="32" spans="2:13" ht="15.75" thickBot="1" x14ac:dyDescent="0.3">
      <c r="B32" s="122" t="s">
        <v>9</v>
      </c>
      <c r="C32" s="123"/>
      <c r="D32" s="110"/>
      <c r="E32" s="113"/>
      <c r="F32" s="136">
        <f>WACC!$G$23</f>
        <v>0.185</v>
      </c>
      <c r="G32" s="119">
        <f t="shared" ref="G32:M32" si="18">(1+$F$32)^-G31</f>
        <v>0.93833003660469871</v>
      </c>
      <c r="H32" s="119">
        <f t="shared" si="18"/>
        <v>0.80882033594802816</v>
      </c>
      <c r="I32" s="119">
        <f t="shared" si="18"/>
        <v>0.68254880670719675</v>
      </c>
      <c r="J32" s="119">
        <f t="shared" si="18"/>
        <v>0.57599055418328837</v>
      </c>
      <c r="K32" s="119">
        <f t="shared" si="18"/>
        <v>0.48606797821374537</v>
      </c>
      <c r="L32" s="119">
        <f t="shared" si="18"/>
        <v>0.41018394785970075</v>
      </c>
      <c r="M32" s="119">
        <f t="shared" si="18"/>
        <v>0.34614679144278543</v>
      </c>
    </row>
    <row r="33" spans="2:17" x14ac:dyDescent="0.25">
      <c r="B33" s="126" t="s">
        <v>10</v>
      </c>
      <c r="C33" s="127"/>
      <c r="D33" s="127"/>
      <c r="E33" s="120"/>
      <c r="F33" s="121"/>
      <c r="G33" s="131">
        <f t="shared" ref="G33:M33" si="19">G32*G27</f>
        <v>41.468189210160425</v>
      </c>
      <c r="H33" s="131">
        <f t="shared" si="19"/>
        <v>47.113130815671497</v>
      </c>
      <c r="I33" s="131">
        <f t="shared" si="19"/>
        <v>37.908294200701945</v>
      </c>
      <c r="J33" s="131">
        <f t="shared" si="19"/>
        <v>21.610052010258912</v>
      </c>
      <c r="K33" s="131">
        <f t="shared" si="19"/>
        <v>8.6419956824575426</v>
      </c>
      <c r="L33" s="131">
        <f t="shared" si="19"/>
        <v>3.1887876690802663</v>
      </c>
      <c r="M33" s="131">
        <f t="shared" si="19"/>
        <v>0.44003866728448071</v>
      </c>
    </row>
    <row r="34" spans="2:17" ht="2.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7" x14ac:dyDescent="0.25">
      <c r="B35" s="3" t="s">
        <v>10</v>
      </c>
      <c r="C35" s="3"/>
      <c r="D35" s="3"/>
      <c r="E35" s="3"/>
      <c r="F35" s="3"/>
      <c r="G35" s="100">
        <f>SUM(G33:M33)</f>
        <v>160.37048825561507</v>
      </c>
      <c r="H35" s="3"/>
      <c r="I35" s="3"/>
      <c r="J35" s="3"/>
      <c r="K35" s="3"/>
      <c r="L35" s="3"/>
      <c r="M35" s="3"/>
    </row>
    <row r="36" spans="2:17" x14ac:dyDescent="0.25">
      <c r="B36" s="3" t="s">
        <v>116</v>
      </c>
      <c r="C36" s="3"/>
      <c r="D36" s="3"/>
      <c r="E36" s="3"/>
      <c r="F36" s="3"/>
      <c r="G36" s="100">
        <f>G35*($Q$36/($Q$36-((PV($F$32,$Q$36,-1)*(1+$F$32)^0.5)*$F$22))-1)</f>
        <v>16.737481463768351</v>
      </c>
      <c r="H36" s="3"/>
      <c r="I36" s="3"/>
      <c r="J36" s="3"/>
      <c r="K36" s="3"/>
      <c r="L36" s="3"/>
      <c r="M36" s="3"/>
      <c r="O36" t="s">
        <v>118</v>
      </c>
      <c r="Q36">
        <v>15</v>
      </c>
    </row>
    <row r="37" spans="2:17" x14ac:dyDescent="0.25">
      <c r="B37" s="133" t="s">
        <v>117</v>
      </c>
      <c r="C37" s="133"/>
      <c r="D37" s="133"/>
      <c r="E37" s="133"/>
      <c r="F37" s="133"/>
      <c r="G37" s="134">
        <f>ROUND(SUM(G35:G36),0)</f>
        <v>177</v>
      </c>
      <c r="H37" s="135"/>
      <c r="I37" s="135"/>
      <c r="J37" s="3"/>
      <c r="K37" s="3"/>
      <c r="L37" s="3"/>
      <c r="M37" s="3"/>
    </row>
    <row r="38" spans="2:17" x14ac:dyDescent="0.25">
      <c r="B38" s="108"/>
      <c r="C38" s="108"/>
      <c r="D38" s="108"/>
      <c r="E38" s="108"/>
      <c r="F38" s="108"/>
      <c r="G38" s="108"/>
      <c r="H38" s="108"/>
      <c r="I38" s="108"/>
      <c r="J38" s="3"/>
      <c r="K38" s="3"/>
      <c r="L38" s="3"/>
      <c r="M38" s="3"/>
    </row>
    <row r="39" spans="2:17" x14ac:dyDescent="0.25">
      <c r="B39" s="161" t="s">
        <v>137</v>
      </c>
      <c r="C39" s="162"/>
      <c r="D39" s="162"/>
      <c r="E39" s="162"/>
      <c r="F39" s="162"/>
      <c r="G39" s="162">
        <f>'Key Inputs and Assumptions'!$C$16</f>
        <v>44196</v>
      </c>
      <c r="H39" s="162">
        <f>G39+365</f>
        <v>44561</v>
      </c>
      <c r="I39" s="162">
        <f t="shared" ref="I39" si="20">H39+365</f>
        <v>44926</v>
      </c>
      <c r="J39" s="162">
        <f t="shared" ref="J39:L39" si="21">I39+365</f>
        <v>45291</v>
      </c>
      <c r="K39" s="162">
        <f t="shared" si="21"/>
        <v>45656</v>
      </c>
      <c r="L39" s="162">
        <f t="shared" si="21"/>
        <v>46021</v>
      </c>
      <c r="M39" s="163">
        <f t="shared" ref="M39" si="22">L39+365</f>
        <v>46386</v>
      </c>
    </row>
    <row r="40" spans="2:17" x14ac:dyDescent="0.25">
      <c r="B40" s="88" t="s">
        <v>79</v>
      </c>
      <c r="C40" s="87"/>
      <c r="D40" s="94"/>
      <c r="E40" s="94"/>
      <c r="F40" s="94"/>
      <c r="G40" s="95">
        <f>PFI!D34</f>
        <v>0.22413369378225609</v>
      </c>
      <c r="H40" s="95">
        <f>PFI!E34</f>
        <v>0.22728001282256771</v>
      </c>
      <c r="I40" s="95">
        <f>PFI!F34</f>
        <v>0.23526132404181185</v>
      </c>
      <c r="J40" s="95">
        <f>PFI!G34</f>
        <v>0.20831221490116575</v>
      </c>
      <c r="K40" s="95">
        <f>PFI!H34</f>
        <v>0.16196290749913606</v>
      </c>
      <c r="L40" s="95">
        <f>PFI!I34</f>
        <v>0.16017553483269337</v>
      </c>
      <c r="M40" s="97">
        <f>PFI!J34</f>
        <v>0.15682791766795529</v>
      </c>
    </row>
    <row r="41" spans="2:17" x14ac:dyDescent="0.25">
      <c r="B41" s="88" t="s">
        <v>71</v>
      </c>
      <c r="C41" s="87"/>
      <c r="D41" s="94"/>
      <c r="E41" s="94"/>
      <c r="F41" s="94"/>
      <c r="G41" s="95">
        <f>PFI!D36</f>
        <v>-3.5659867289260259E-2</v>
      </c>
      <c r="H41" s="95">
        <f>PFI!E36</f>
        <v>-3.4909440615483255E-2</v>
      </c>
      <c r="I41" s="95">
        <f>PFI!F36</f>
        <v>-3.5331010452961671E-2</v>
      </c>
      <c r="J41" s="95">
        <f>PFI!G36</f>
        <v>-3.4845413076533195E-2</v>
      </c>
      <c r="K41" s="95">
        <f>PFI!H36</f>
        <v>-3.8014053680451562E-2</v>
      </c>
      <c r="L41" s="95">
        <f>PFI!I36</f>
        <v>-3.784969829950631E-2</v>
      </c>
      <c r="M41" s="97">
        <f>PFI!J36</f>
        <v>-3.8240518232159647E-2</v>
      </c>
    </row>
    <row r="42" spans="2:17" x14ac:dyDescent="0.25">
      <c r="B42" s="88" t="s">
        <v>71</v>
      </c>
      <c r="C42" s="87"/>
      <c r="D42" s="94"/>
      <c r="E42" s="94"/>
      <c r="F42" s="94"/>
      <c r="G42" s="95">
        <f>PFI!$C$24</f>
        <v>0.04</v>
      </c>
      <c r="H42" s="95">
        <f>G42</f>
        <v>0.04</v>
      </c>
      <c r="I42" s="95">
        <f t="shared" ref="I42:M42" si="23">H42</f>
        <v>0.04</v>
      </c>
      <c r="J42" s="95">
        <f t="shared" si="23"/>
        <v>0.04</v>
      </c>
      <c r="K42" s="95">
        <f t="shared" si="23"/>
        <v>0.04</v>
      </c>
      <c r="L42" s="95">
        <f t="shared" si="23"/>
        <v>0.04</v>
      </c>
      <c r="M42" s="97">
        <f t="shared" si="23"/>
        <v>0.04</v>
      </c>
    </row>
    <row r="43" spans="2:17" x14ac:dyDescent="0.25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2:17" x14ac:dyDescent="0.25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</row>
    <row r="45" spans="2:17" x14ac:dyDescent="0.25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2:17" x14ac:dyDescent="0.25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</row>
    <row r="47" spans="2:17" x14ac:dyDescent="0.25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2:17" x14ac:dyDescent="0.25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</row>
    <row r="49" spans="2:13" x14ac:dyDescent="0.25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2:13" x14ac:dyDescent="0.25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2:13" x14ac:dyDescent="0.25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2:13" x14ac:dyDescent="0.25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2:13" x14ac:dyDescent="0.25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</sheetData>
  <mergeCells count="2">
    <mergeCell ref="B10:F10"/>
    <mergeCell ref="H10:M10"/>
  </mergeCells>
  <pageMargins left="0.5" right="0.5" top="0.5" bottom="0.5" header="0.5" footer="0.5"/>
  <pageSetup fitToHeight="0" orientation="landscape" r:id="rId1"/>
  <headerFooter>
    <oddFooter>&amp;L&amp;G&amp;R&amp;"Arial,Regular"&amp;10&amp;K616161acuitykp.com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view="pageBreakPreview" topLeftCell="A3" zoomScaleNormal="100" zoomScaleSheetLayoutView="100" workbookViewId="0">
      <selection activeCell="E15" sqref="E15"/>
    </sheetView>
  </sheetViews>
  <sheetFormatPr defaultRowHeight="15" x14ac:dyDescent="0.25"/>
  <cols>
    <col min="1" max="1" width="3.5703125" customWidth="1"/>
    <col min="2" max="2" width="18.7109375" customWidth="1"/>
    <col min="4" max="4" width="10.7109375" customWidth="1"/>
    <col min="5" max="5" width="14.7109375" customWidth="1"/>
    <col min="6" max="6" width="1.7109375" customWidth="1"/>
    <col min="7" max="7" width="18.7109375" customWidth="1"/>
    <col min="10" max="10" width="14.7109375" customWidth="1"/>
    <col min="11" max="11" width="2.7109375" customWidth="1"/>
  </cols>
  <sheetData>
    <row r="1" spans="2:10" ht="15.75" x14ac:dyDescent="0.25">
      <c r="B1" s="22" t="str">
        <f>Acq_name</f>
        <v>Acquisition Holdings Ltd.</v>
      </c>
      <c r="J1" s="83" t="str">
        <f>"Exhibit: "&amp;INDEX(TOC!$B$5:$E$24,MATCH($B$3,TOC!$E$5:$E$24,0),COLUMNS(TOC!N5))</f>
        <v>Exhibit: I</v>
      </c>
    </row>
    <row r="2" spans="2:10" x14ac:dyDescent="0.25">
      <c r="B2" s="23" t="str">
        <f>Targ_name</f>
        <v>WearOS Tech. Pvt. Ltd.</v>
      </c>
    </row>
    <row r="3" spans="2:10" x14ac:dyDescent="0.25">
      <c r="B3" s="24" t="str">
        <f>TOC!E17</f>
        <v>Weighted Average Cost of Capital</v>
      </c>
    </row>
    <row r="4" spans="2:10" x14ac:dyDescent="0.25">
      <c r="B4" s="29" t="str">
        <f>"Valuation as of "&amp;TEXT(Val_date,"DD MMMM YYYY")</f>
        <v>Valuation as of 31 March 2020</v>
      </c>
    </row>
    <row r="5" spans="2:10" x14ac:dyDescent="0.25">
      <c r="B5" s="31" t="str">
        <f>'Key Inputs and Assumptions'!C24</f>
        <v>(in USD ‘000s unless specified otherwise)</v>
      </c>
    </row>
    <row r="6" spans="2:10" x14ac:dyDescent="0.25">
      <c r="B6" s="3"/>
      <c r="C6" s="3"/>
      <c r="D6" s="3"/>
      <c r="E6" s="3"/>
      <c r="F6" s="3"/>
      <c r="G6" s="3"/>
      <c r="H6" s="3"/>
      <c r="I6" s="3"/>
      <c r="J6" s="3"/>
    </row>
    <row r="7" spans="2:10" x14ac:dyDescent="0.25">
      <c r="B7" s="194" t="s">
        <v>164</v>
      </c>
      <c r="C7" s="195"/>
      <c r="D7" s="196" t="s">
        <v>50</v>
      </c>
      <c r="E7" s="197" t="s">
        <v>165</v>
      </c>
      <c r="F7" s="3"/>
      <c r="G7" s="267" t="s">
        <v>152</v>
      </c>
      <c r="H7" s="268"/>
      <c r="I7" s="268"/>
      <c r="J7" s="269"/>
    </row>
    <row r="8" spans="2:10" x14ac:dyDescent="0.25">
      <c r="B8" s="190" t="s">
        <v>52</v>
      </c>
      <c r="C8" s="192"/>
      <c r="D8" s="193">
        <f>E8/$E$10</f>
        <v>0.87004608294930874</v>
      </c>
      <c r="E8" s="204">
        <v>4720</v>
      </c>
      <c r="F8" s="3"/>
      <c r="G8" s="188" t="s">
        <v>153</v>
      </c>
      <c r="H8" s="189"/>
      <c r="I8" s="189"/>
      <c r="J8" s="207">
        <v>1.6</v>
      </c>
    </row>
    <row r="9" spans="2:10" x14ac:dyDescent="0.25">
      <c r="B9" s="180" t="s">
        <v>53</v>
      </c>
      <c r="C9" s="181"/>
      <c r="D9" s="182">
        <f>E9/$E$10</f>
        <v>0.12995391705069123</v>
      </c>
      <c r="E9" s="205">
        <v>705</v>
      </c>
      <c r="F9" s="3"/>
      <c r="G9" s="187" t="s">
        <v>154</v>
      </c>
      <c r="H9" s="186"/>
      <c r="I9" s="255" t="s">
        <v>194</v>
      </c>
      <c r="J9" s="201">
        <f>D9/D8</f>
        <v>0.14936440677966101</v>
      </c>
    </row>
    <row r="10" spans="2:10" x14ac:dyDescent="0.25">
      <c r="B10" s="183" t="s">
        <v>161</v>
      </c>
      <c r="C10" s="184"/>
      <c r="D10" s="185"/>
      <c r="E10" s="200">
        <f>SUM(E8:E9)</f>
        <v>5425</v>
      </c>
      <c r="F10" s="3"/>
      <c r="G10" s="187" t="s">
        <v>155</v>
      </c>
      <c r="H10" s="186"/>
      <c r="I10" s="186"/>
      <c r="J10" s="201">
        <f>E15</f>
        <v>0.26140000000000002</v>
      </c>
    </row>
    <row r="11" spans="2:10" x14ac:dyDescent="0.25">
      <c r="B11" s="3"/>
      <c r="C11" s="3"/>
      <c r="D11" s="3"/>
      <c r="E11" s="3"/>
      <c r="F11" s="3"/>
      <c r="G11" s="187" t="s">
        <v>163</v>
      </c>
      <c r="H11" s="186"/>
      <c r="I11" s="256" t="s">
        <v>195</v>
      </c>
      <c r="J11" s="206">
        <f>'Key Inputs and Assumptions'!$C$38</f>
        <v>1.2200000000000001E-2</v>
      </c>
    </row>
    <row r="12" spans="2:10" x14ac:dyDescent="0.25">
      <c r="F12" s="3"/>
      <c r="G12" s="187" t="s">
        <v>156</v>
      </c>
      <c r="H12" s="186"/>
      <c r="I12" s="186"/>
      <c r="J12" s="203">
        <f>J8*(1+(J9*(1-J10)))</f>
        <v>1.7765128813559323</v>
      </c>
    </row>
    <row r="13" spans="2:10" x14ac:dyDescent="0.25">
      <c r="B13" s="267" t="s">
        <v>179</v>
      </c>
      <c r="C13" s="268"/>
      <c r="D13" s="268"/>
      <c r="E13" s="269"/>
      <c r="F13" s="3"/>
      <c r="G13" s="187" t="s">
        <v>157</v>
      </c>
      <c r="H13" s="186"/>
      <c r="I13" s="186"/>
      <c r="J13" s="206">
        <v>6.5000000000000002E-2</v>
      </c>
    </row>
    <row r="14" spans="2:10" x14ac:dyDescent="0.25">
      <c r="B14" s="198" t="s">
        <v>162</v>
      </c>
      <c r="C14" s="199"/>
      <c r="D14" s="257" t="s">
        <v>193</v>
      </c>
      <c r="E14" s="206">
        <f>'Key Inputs and Assumptions'!$C$22</f>
        <v>3.5000000000000003E-2</v>
      </c>
      <c r="F14" s="3"/>
      <c r="G14" s="187" t="s">
        <v>158</v>
      </c>
      <c r="H14" s="186"/>
      <c r="I14" s="186"/>
      <c r="J14" s="206">
        <v>0.02</v>
      </c>
    </row>
    <row r="15" spans="2:10" x14ac:dyDescent="0.25">
      <c r="B15" s="187" t="s">
        <v>160</v>
      </c>
      <c r="C15" s="181"/>
      <c r="D15" s="186"/>
      <c r="E15" s="206">
        <f>tax_rate</f>
        <v>0.26140000000000002</v>
      </c>
      <c r="F15" s="3"/>
      <c r="G15" s="187" t="s">
        <v>196</v>
      </c>
      <c r="H15" s="186"/>
      <c r="I15" s="255" t="s">
        <v>197</v>
      </c>
      <c r="J15" s="206">
        <v>6.0999999999999999E-2</v>
      </c>
    </row>
    <row r="16" spans="2:10" x14ac:dyDescent="0.25">
      <c r="B16" s="212" t="s">
        <v>161</v>
      </c>
      <c r="C16" s="215"/>
      <c r="D16" s="213"/>
      <c r="E16" s="214">
        <f>E14*(1-E15)</f>
        <v>2.5850999999999999E-2</v>
      </c>
      <c r="F16" s="3"/>
      <c r="G16" s="212" t="s">
        <v>159</v>
      </c>
      <c r="H16" s="213"/>
      <c r="I16" s="213"/>
      <c r="J16" s="214">
        <f>J11+(J12*J13)+J14+J15</f>
        <v>0.20867333728813559</v>
      </c>
    </row>
    <row r="17" spans="2:10" x14ac:dyDescent="0.25"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x14ac:dyDescent="0.25">
      <c r="B19" s="194" t="s">
        <v>166</v>
      </c>
      <c r="C19" s="195"/>
      <c r="D19" s="196"/>
      <c r="E19" s="197"/>
      <c r="F19" s="208"/>
      <c r="G19" s="191"/>
      <c r="H19" s="3"/>
      <c r="I19" s="3"/>
      <c r="J19" s="3"/>
    </row>
    <row r="20" spans="2:10" x14ac:dyDescent="0.25">
      <c r="B20" s="188" t="s">
        <v>167</v>
      </c>
      <c r="C20" s="189"/>
      <c r="D20" s="189"/>
      <c r="E20" s="209">
        <f>D9</f>
        <v>0.12995391705069123</v>
      </c>
      <c r="F20" s="192"/>
      <c r="G20" s="211">
        <f>E16</f>
        <v>2.5850999999999999E-2</v>
      </c>
      <c r="I20" s="3"/>
      <c r="J20" s="3"/>
    </row>
    <row r="21" spans="2:10" x14ac:dyDescent="0.25">
      <c r="B21" s="187" t="s">
        <v>52</v>
      </c>
      <c r="C21" s="186"/>
      <c r="D21" s="186"/>
      <c r="E21" s="210">
        <f>1-E20</f>
        <v>0.87004608294930874</v>
      </c>
      <c r="F21" s="181"/>
      <c r="G21" s="202">
        <f>J16</f>
        <v>0.20867333728813559</v>
      </c>
      <c r="I21" s="3"/>
      <c r="J21" s="3"/>
    </row>
    <row r="22" spans="2:10" x14ac:dyDescent="0.25">
      <c r="B22" s="212" t="s">
        <v>168</v>
      </c>
      <c r="C22" s="213"/>
      <c r="D22" s="213"/>
      <c r="E22" s="213"/>
      <c r="F22" s="213"/>
      <c r="G22" s="216">
        <f>SUMPRODUCT(E20:E21,G20:G21)</f>
        <v>0.1849148584331797</v>
      </c>
      <c r="I22" s="3"/>
      <c r="J22" s="3"/>
    </row>
    <row r="23" spans="2:10" x14ac:dyDescent="0.25">
      <c r="B23" s="212" t="s">
        <v>169</v>
      </c>
      <c r="C23" s="213"/>
      <c r="D23" s="213"/>
      <c r="E23" s="213"/>
      <c r="F23" s="213"/>
      <c r="G23" s="216">
        <f>MROUND(G22,0.5%)</f>
        <v>0.185</v>
      </c>
      <c r="H23" s="3"/>
      <c r="I23" s="3"/>
      <c r="J23" s="3"/>
    </row>
    <row r="25" spans="2:10" x14ac:dyDescent="0.25">
      <c r="B25" s="253" t="s">
        <v>198</v>
      </c>
    </row>
    <row r="26" spans="2:10" x14ac:dyDescent="0.25">
      <c r="B26" s="253" t="str">
        <f>D14&amp;" Source: Prime rate"</f>
        <v>(a) Source: Prime rate</v>
      </c>
    </row>
    <row r="27" spans="2:10" x14ac:dyDescent="0.25">
      <c r="B27" s="254" t="str">
        <f>I9&amp;" Based on assumed Debt/Equity Structure of "&amp;Targ_name</f>
        <v>(b) Based on assumed Debt/Equity Structure of WearOS Tech. Pvt. Ltd.</v>
      </c>
    </row>
    <row r="28" spans="2:10" x14ac:dyDescent="0.25">
      <c r="B28" s="254" t="str">
        <f>I11&amp;" Source: Federal Reserve Board statistical release as of: " &amp;TEXT(Val_date,"DD MMM YYYY")</f>
        <v>(c) Source: Federal Reserve Board statistical release as of: 31 Mar 2020</v>
      </c>
    </row>
    <row r="29" spans="2:10" x14ac:dyDescent="0.25">
      <c r="B29" s="254" t="str">
        <f>I15&amp;" Smallstock risk premium based on Duff &amp; Phelps Systemic risk Premium Table"</f>
        <v>(d) Smallstock risk premium based on Duff &amp; Phelps Systemic risk Premium Table</v>
      </c>
    </row>
  </sheetData>
  <mergeCells count="2">
    <mergeCell ref="B13:E13"/>
    <mergeCell ref="G7:J7"/>
  </mergeCells>
  <pageMargins left="0.5" right="0.5" top="0.5" bottom="0.5" header="0.5" footer="0.5"/>
  <pageSetup scale="112" orientation="landscape" r:id="rId1"/>
  <headerFooter>
    <oddFooter>&amp;L&amp;G&amp;R&amp;"Arial,Regular"&amp;10&amp;K616161acuitykp.com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9"/>
  <sheetViews>
    <sheetView showGridLines="0" view="pageBreakPreview" zoomScale="90" zoomScaleNormal="100" zoomScaleSheetLayoutView="90" workbookViewId="0">
      <selection activeCell="O12" sqref="O12"/>
    </sheetView>
  </sheetViews>
  <sheetFormatPr defaultRowHeight="15" x14ac:dyDescent="0.25"/>
  <sheetData>
    <row r="10" spans="2:2" ht="20.25" x14ac:dyDescent="0.3">
      <c r="B10" s="258" t="str">
        <f>Acq_name</f>
        <v>Acquisition Holdings Ltd.</v>
      </c>
    </row>
    <row r="11" spans="2:2" ht="20.25" x14ac:dyDescent="0.3">
      <c r="B11" s="258" t="str">
        <f>"Valuation of Certain Intangible Assets of "&amp;Targ_name</f>
        <v>Valuation of Certain Intangible Assets of WearOS Tech. Pvt. Ltd.</v>
      </c>
    </row>
    <row r="12" spans="2:2" ht="20.25" x14ac:dyDescent="0.3">
      <c r="B12" s="258" t="s">
        <v>201</v>
      </c>
    </row>
    <row r="13" spans="2:2" ht="20.25" x14ac:dyDescent="0.3">
      <c r="B13" s="258" t="str">
        <f>"Valuation as of "&amp;TEXT(Val_date,"DD MMMM YYYY")</f>
        <v>Valuation as of 31 March 2020</v>
      </c>
    </row>
    <row r="19" spans="9:9" x14ac:dyDescent="0.25">
      <c r="I19" s="5" t="s">
        <v>202</v>
      </c>
    </row>
  </sheetData>
  <pageMargins left="0.5" right="0.5" top="0.5" bottom="0.5" header="0.5" footer="0.5"/>
  <pageSetup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view="pageBreakPreview" zoomScaleNormal="100" zoomScaleSheetLayoutView="100" workbookViewId="0">
      <selection activeCell="E11" sqref="E11"/>
    </sheetView>
  </sheetViews>
  <sheetFormatPr defaultRowHeight="14.25" outlineLevelRow="1" x14ac:dyDescent="0.2"/>
  <cols>
    <col min="1" max="1" width="3.5703125" style="2" customWidth="1"/>
    <col min="2" max="2" width="19" style="2" customWidth="1"/>
    <col min="3" max="3" width="9.140625" style="2"/>
    <col min="4" max="4" width="6.7109375" style="2" customWidth="1"/>
    <col min="5" max="5" width="41.140625" style="2" customWidth="1"/>
    <col min="6" max="6" width="18" style="2" customWidth="1"/>
    <col min="7" max="16384" width="9.140625" style="2"/>
  </cols>
  <sheetData>
    <row r="1" spans="2:9" ht="18" customHeight="1" x14ac:dyDescent="0.2">
      <c r="B1" s="22" t="str">
        <f>Acq_name</f>
        <v>Acquisition Holdings Ltd.</v>
      </c>
    </row>
    <row r="2" spans="2:9" ht="18" customHeight="1" x14ac:dyDescent="0.2">
      <c r="B2" s="23" t="str">
        <f>Targ_name</f>
        <v>WearOS Tech. Pvt. Ltd.</v>
      </c>
    </row>
    <row r="3" spans="2:9" ht="15" x14ac:dyDescent="0.2">
      <c r="B3" s="24" t="s">
        <v>37</v>
      </c>
    </row>
    <row r="5" spans="2:9" x14ac:dyDescent="0.2">
      <c r="B5" s="25" t="s">
        <v>38</v>
      </c>
      <c r="C5" s="26"/>
      <c r="D5" s="26"/>
      <c r="E5" s="25" t="s">
        <v>39</v>
      </c>
    </row>
    <row r="6" spans="2:9" x14ac:dyDescent="0.2">
      <c r="B6" s="27"/>
      <c r="C6" s="27"/>
      <c r="D6" s="27"/>
      <c r="E6" s="27"/>
    </row>
    <row r="7" spans="2:9" x14ac:dyDescent="0.2">
      <c r="B7" s="28" t="str">
        <f>CHAR(I7)</f>
        <v>A</v>
      </c>
      <c r="C7" s="28"/>
      <c r="D7" s="28"/>
      <c r="E7" s="28" t="s">
        <v>40</v>
      </c>
      <c r="I7" s="2">
        <v>65</v>
      </c>
    </row>
    <row r="8" spans="2:9" x14ac:dyDescent="0.2">
      <c r="B8" s="28" t="str">
        <f t="shared" ref="B8:B17" si="0">CHAR(I8)</f>
        <v>B</v>
      </c>
      <c r="C8" s="28"/>
      <c r="D8" s="28"/>
      <c r="E8" s="28" t="s">
        <v>44</v>
      </c>
      <c r="I8" s="2">
        <f>I7+1</f>
        <v>66</v>
      </c>
    </row>
    <row r="9" spans="2:9" x14ac:dyDescent="0.2">
      <c r="B9" s="28" t="str">
        <f t="shared" si="0"/>
        <v>C</v>
      </c>
      <c r="C9" s="28"/>
      <c r="D9" s="28"/>
      <c r="E9" s="28" t="s">
        <v>206</v>
      </c>
      <c r="I9" s="2">
        <f>I8+1</f>
        <v>67</v>
      </c>
    </row>
    <row r="10" spans="2:9" hidden="1" outlineLevel="1" x14ac:dyDescent="0.2">
      <c r="B10" s="28" t="str">
        <f t="shared" si="0"/>
        <v>D</v>
      </c>
      <c r="C10" s="28"/>
      <c r="D10" s="28"/>
      <c r="E10" s="28" t="s">
        <v>205</v>
      </c>
      <c r="I10" s="2">
        <f>I9+1</f>
        <v>68</v>
      </c>
    </row>
    <row r="11" spans="2:9" collapsed="1" x14ac:dyDescent="0.2">
      <c r="B11" s="28" t="str">
        <f t="shared" ref="B11" si="1">CHAR(I11)</f>
        <v>D</v>
      </c>
      <c r="C11" s="28"/>
      <c r="D11" s="28"/>
      <c r="E11" s="28" t="s">
        <v>84</v>
      </c>
      <c r="I11" s="2">
        <f>I9+1</f>
        <v>68</v>
      </c>
    </row>
    <row r="12" spans="2:9" x14ac:dyDescent="0.2">
      <c r="B12" s="28" t="str">
        <f t="shared" si="0"/>
        <v>E</v>
      </c>
      <c r="C12" s="28"/>
      <c r="D12" s="28"/>
      <c r="E12" s="28" t="s">
        <v>121</v>
      </c>
      <c r="I12" s="2">
        <f t="shared" ref="I12:I21" si="2">I11+1</f>
        <v>69</v>
      </c>
    </row>
    <row r="13" spans="2:9" x14ac:dyDescent="0.2">
      <c r="B13" s="28" t="str">
        <f t="shared" si="0"/>
        <v>F</v>
      </c>
      <c r="C13" s="28"/>
      <c r="D13" s="28"/>
      <c r="E13" s="28" t="s">
        <v>41</v>
      </c>
      <c r="I13" s="2">
        <f t="shared" si="2"/>
        <v>70</v>
      </c>
    </row>
    <row r="14" spans="2:9" x14ac:dyDescent="0.2">
      <c r="B14" s="28" t="str">
        <f t="shared" si="0"/>
        <v>G</v>
      </c>
      <c r="C14" s="28"/>
      <c r="D14" s="28"/>
      <c r="E14" s="28" t="s">
        <v>43</v>
      </c>
      <c r="I14" s="2">
        <f t="shared" si="2"/>
        <v>71</v>
      </c>
    </row>
    <row r="15" spans="2:9" x14ac:dyDescent="0.2">
      <c r="B15" s="28" t="str">
        <f t="shared" si="0"/>
        <v>H</v>
      </c>
      <c r="C15" s="28"/>
      <c r="D15" s="28"/>
      <c r="E15" s="28" t="s">
        <v>45</v>
      </c>
      <c r="I15" s="2">
        <f t="shared" si="2"/>
        <v>72</v>
      </c>
    </row>
    <row r="16" spans="2:9" hidden="1" outlineLevel="1" x14ac:dyDescent="0.2">
      <c r="B16" s="28" t="str">
        <f t="shared" ref="B16" si="3">CHAR(I16)</f>
        <v>I</v>
      </c>
      <c r="C16" s="28"/>
      <c r="D16" s="28"/>
      <c r="E16" s="28" t="s">
        <v>46</v>
      </c>
      <c r="I16" s="2">
        <f t="shared" si="2"/>
        <v>73</v>
      </c>
    </row>
    <row r="17" spans="2:9" collapsed="1" x14ac:dyDescent="0.2">
      <c r="B17" s="28" t="str">
        <f t="shared" si="0"/>
        <v>I</v>
      </c>
      <c r="C17" s="28"/>
      <c r="D17" s="28"/>
      <c r="E17" s="28" t="s">
        <v>85</v>
      </c>
      <c r="I17" s="2">
        <f>I15+1</f>
        <v>73</v>
      </c>
    </row>
    <row r="18" spans="2:9" hidden="1" outlineLevel="1" x14ac:dyDescent="0.2">
      <c r="B18" s="28" t="str">
        <f t="shared" ref="B18" si="4">CHAR(I18)</f>
        <v>J</v>
      </c>
      <c r="C18" s="28"/>
      <c r="D18" s="28"/>
      <c r="E18" s="28" t="s">
        <v>86</v>
      </c>
      <c r="I18" s="2">
        <f t="shared" si="2"/>
        <v>74</v>
      </c>
    </row>
    <row r="19" spans="2:9" hidden="1" outlineLevel="1" x14ac:dyDescent="0.2">
      <c r="B19" s="28" t="str">
        <f t="shared" ref="B19" si="5">CHAR(I19)</f>
        <v>K</v>
      </c>
      <c r="C19" s="28"/>
      <c r="D19" s="28"/>
      <c r="E19" s="28" t="s">
        <v>87</v>
      </c>
      <c r="I19" s="2">
        <f t="shared" si="2"/>
        <v>75</v>
      </c>
    </row>
    <row r="20" spans="2:9" hidden="1" outlineLevel="1" x14ac:dyDescent="0.2">
      <c r="B20" s="28" t="str">
        <f t="shared" ref="B20:B21" si="6">CHAR(I20)</f>
        <v>L</v>
      </c>
      <c r="C20" s="28"/>
      <c r="D20" s="28"/>
      <c r="E20" s="28" t="s">
        <v>88</v>
      </c>
      <c r="I20" s="2">
        <f t="shared" si="2"/>
        <v>76</v>
      </c>
    </row>
    <row r="21" spans="2:9" hidden="1" outlineLevel="1" x14ac:dyDescent="0.2">
      <c r="B21" s="28" t="str">
        <f t="shared" si="6"/>
        <v>M</v>
      </c>
      <c r="C21" s="28"/>
      <c r="D21" s="28"/>
      <c r="E21" s="28" t="s">
        <v>89</v>
      </c>
      <c r="I21" s="2">
        <f t="shared" si="2"/>
        <v>77</v>
      </c>
    </row>
    <row r="22" spans="2:9" collapsed="1" x14ac:dyDescent="0.2">
      <c r="B22" s="28"/>
      <c r="C22" s="28"/>
      <c r="D22" s="28"/>
      <c r="E22" s="28"/>
    </row>
    <row r="23" spans="2:9" x14ac:dyDescent="0.2">
      <c r="B23" s="28"/>
      <c r="C23" s="28"/>
      <c r="D23" s="28"/>
      <c r="E23" s="28"/>
    </row>
    <row r="24" spans="2:9" x14ac:dyDescent="0.2">
      <c r="B24" s="28"/>
      <c r="C24" s="28"/>
      <c r="D24" s="28"/>
      <c r="E24" s="28"/>
    </row>
    <row r="25" spans="2:9" x14ac:dyDescent="0.2">
      <c r="B25" s="20"/>
      <c r="C25" s="20"/>
      <c r="D25" s="20"/>
      <c r="E25" s="20"/>
    </row>
    <row r="26" spans="2:9" x14ac:dyDescent="0.2">
      <c r="B26" s="20"/>
      <c r="C26" s="20"/>
      <c r="D26" s="20"/>
      <c r="E26" s="20"/>
    </row>
    <row r="27" spans="2:9" x14ac:dyDescent="0.2">
      <c r="B27" s="20"/>
      <c r="C27" s="20"/>
      <c r="D27" s="20"/>
      <c r="E27" s="20"/>
    </row>
    <row r="28" spans="2:9" x14ac:dyDescent="0.2">
      <c r="B28" s="20"/>
      <c r="C28" s="20"/>
      <c r="D28" s="20"/>
      <c r="E28" s="20"/>
    </row>
    <row r="29" spans="2:9" x14ac:dyDescent="0.2">
      <c r="B29" s="20"/>
      <c r="C29" s="20"/>
      <c r="D29" s="20"/>
      <c r="E29" s="20"/>
    </row>
    <row r="30" spans="2:9" x14ac:dyDescent="0.2">
      <c r="B30" s="20"/>
      <c r="C30" s="20"/>
      <c r="D30" s="20"/>
      <c r="E30" s="20"/>
    </row>
    <row r="31" spans="2:9" x14ac:dyDescent="0.2">
      <c r="B31" s="20"/>
      <c r="C31" s="20"/>
      <c r="D31" s="20"/>
      <c r="E31" s="20"/>
    </row>
    <row r="32" spans="2:9" x14ac:dyDescent="0.2">
      <c r="B32" s="20"/>
      <c r="C32" s="20"/>
      <c r="D32" s="20"/>
      <c r="E32" s="20"/>
    </row>
  </sheetData>
  <pageMargins left="0.5" right="0.5" top="0.5" bottom="0.5" header="0.5" footer="0.5"/>
  <pageSetup orientation="landscape" r:id="rId1"/>
  <headerFooter>
    <oddFooter>&amp;L&amp;G&amp;R&amp;"Arial,Regular"&amp;10&amp;K616161acuitykp.com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view="pageBreakPreview" topLeftCell="A4" zoomScaleNormal="100" zoomScaleSheetLayoutView="100" workbookViewId="0">
      <selection activeCell="B25" sqref="B25:F25"/>
    </sheetView>
  </sheetViews>
  <sheetFormatPr defaultRowHeight="15" x14ac:dyDescent="0.25"/>
  <cols>
    <col min="1" max="1" width="3.5703125" customWidth="1"/>
    <col min="2" max="2" width="29.5703125" customWidth="1"/>
    <col min="3" max="3" width="32" customWidth="1"/>
    <col min="5" max="6" width="14.7109375" style="35" customWidth="1"/>
    <col min="7" max="7" width="5.7109375" customWidth="1"/>
  </cols>
  <sheetData>
    <row r="1" spans="1:7" ht="15.75" x14ac:dyDescent="0.25">
      <c r="A1" s="2"/>
      <c r="B1" s="22" t="str">
        <f>Acq_name</f>
        <v>Acquisition Holdings Ltd.</v>
      </c>
      <c r="F1" s="83" t="str">
        <f>"Exhibit: "&amp;INDEX(TOC!$B$5:$E$24,MATCH($B$3,TOC!$E$5:$E$24,0),COLUMNS(TOC!B5))</f>
        <v>Exhibit: A</v>
      </c>
    </row>
    <row r="2" spans="1:7" x14ac:dyDescent="0.25">
      <c r="A2" s="2"/>
      <c r="B2" s="23" t="str">
        <f>Targ_name</f>
        <v>WearOS Tech. Pvt. Ltd.</v>
      </c>
    </row>
    <row r="3" spans="1:7" x14ac:dyDescent="0.25">
      <c r="A3" s="2"/>
      <c r="B3" s="24" t="str">
        <f>TOC!E7</f>
        <v>Summary of Values</v>
      </c>
    </row>
    <row r="4" spans="1:7" x14ac:dyDescent="0.25">
      <c r="B4" s="29" t="str">
        <f>"Valuation as of "&amp;TEXT(Val_date,"DD MMMM YYYY")</f>
        <v>Valuation as of 31 March 2020</v>
      </c>
    </row>
    <row r="5" spans="1:7" x14ac:dyDescent="0.25">
      <c r="B5" s="31" t="str">
        <f>'Key Inputs and Assumptions'!C24</f>
        <v>(in USD ‘000s unless specified otherwise)</v>
      </c>
    </row>
    <row r="7" spans="1:7" x14ac:dyDescent="0.25">
      <c r="B7" s="33" t="s">
        <v>48</v>
      </c>
      <c r="C7" s="34"/>
      <c r="D7" s="32"/>
      <c r="E7" s="36" t="s">
        <v>49</v>
      </c>
      <c r="F7" s="37" t="s">
        <v>50</v>
      </c>
    </row>
    <row r="8" spans="1:7" ht="15.75" thickBot="1" x14ac:dyDescent="0.3">
      <c r="B8" s="71" t="s">
        <v>51</v>
      </c>
      <c r="C8" s="72"/>
      <c r="D8" s="38"/>
      <c r="E8" s="39"/>
      <c r="F8" s="40"/>
    </row>
    <row r="9" spans="1:7" x14ac:dyDescent="0.25">
      <c r="B9" s="9"/>
      <c r="C9" s="76" t="s">
        <v>52</v>
      </c>
      <c r="D9" s="41"/>
      <c r="E9" s="173">
        <v>4720</v>
      </c>
      <c r="F9" s="43">
        <f>E9/$E$11</f>
        <v>0.87004608294930874</v>
      </c>
    </row>
    <row r="10" spans="1:7" x14ac:dyDescent="0.25">
      <c r="B10" s="44"/>
      <c r="C10" s="77" t="s">
        <v>53</v>
      </c>
      <c r="D10" s="45"/>
      <c r="E10" s="174">
        <v>705</v>
      </c>
      <c r="F10" s="46">
        <f>E10/$E$11</f>
        <v>0.12995391705069123</v>
      </c>
    </row>
    <row r="11" spans="1:7" x14ac:dyDescent="0.25">
      <c r="B11" s="73" t="s">
        <v>54</v>
      </c>
      <c r="C11" s="78"/>
      <c r="D11" s="47"/>
      <c r="E11" s="48">
        <v>5425</v>
      </c>
      <c r="F11" s="49">
        <f>SUM(F9:F10)</f>
        <v>1</v>
      </c>
    </row>
    <row r="12" spans="1:7" ht="15.75" thickBot="1" x14ac:dyDescent="0.3">
      <c r="A12" s="30"/>
      <c r="B12" s="50"/>
      <c r="C12" s="79"/>
      <c r="D12" s="51"/>
      <c r="E12" s="52"/>
      <c r="F12" s="52"/>
      <c r="G12" s="30"/>
    </row>
    <row r="13" spans="1:7" ht="15.75" thickBot="1" x14ac:dyDescent="0.3">
      <c r="B13" s="75" t="s">
        <v>55</v>
      </c>
      <c r="C13" s="80"/>
      <c r="D13" s="53"/>
      <c r="E13" s="54"/>
      <c r="F13" s="55"/>
    </row>
    <row r="14" spans="1:7" x14ac:dyDescent="0.25">
      <c r="B14" s="9"/>
      <c r="C14" s="76" t="s">
        <v>56</v>
      </c>
      <c r="D14" s="10"/>
      <c r="E14" s="175">
        <v>27</v>
      </c>
      <c r="F14" s="43">
        <f>E14/$E$25</f>
        <v>4.9769585253456221E-3</v>
      </c>
    </row>
    <row r="15" spans="1:7" ht="15" customHeight="1" x14ac:dyDescent="0.25">
      <c r="B15" s="56" t="s">
        <v>11</v>
      </c>
      <c r="C15" s="81" t="s">
        <v>57</v>
      </c>
      <c r="D15" s="59"/>
      <c r="E15" s="176">
        <v>271</v>
      </c>
      <c r="F15" s="58">
        <f t="shared" ref="F15:F17" si="0">E15/$E$25</f>
        <v>4.9953917050691243E-2</v>
      </c>
    </row>
    <row r="16" spans="1:7" x14ac:dyDescent="0.25">
      <c r="B16" s="56"/>
      <c r="C16" s="81" t="s">
        <v>58</v>
      </c>
      <c r="D16" s="60"/>
      <c r="E16" s="176">
        <v>109</v>
      </c>
      <c r="F16" s="58">
        <f t="shared" si="0"/>
        <v>2.0092165898617512E-2</v>
      </c>
    </row>
    <row r="17" spans="2:6" ht="15.75" thickBot="1" x14ac:dyDescent="0.3">
      <c r="B17" s="44"/>
      <c r="C17" s="82" t="s">
        <v>59</v>
      </c>
      <c r="D17" s="61"/>
      <c r="E17" s="62">
        <v>407</v>
      </c>
      <c r="F17" s="63">
        <f t="shared" si="0"/>
        <v>7.5023041474654384E-2</v>
      </c>
    </row>
    <row r="18" spans="2:6" ht="15.75" thickBot="1" x14ac:dyDescent="0.3">
      <c r="B18" s="75" t="s">
        <v>60</v>
      </c>
      <c r="C18" s="80"/>
      <c r="D18" s="53"/>
      <c r="E18" s="54"/>
      <c r="F18" s="55"/>
    </row>
    <row r="19" spans="2:6" ht="15" customHeight="1" x14ac:dyDescent="0.25">
      <c r="B19" s="9"/>
      <c r="C19" s="76" t="s">
        <v>61</v>
      </c>
      <c r="D19" s="10"/>
      <c r="E19" s="42">
        <f>'Trade Name and Trademarks'!G27</f>
        <v>568</v>
      </c>
      <c r="F19" s="43">
        <f t="shared" ref="F19:F24" si="1">E19/$E$25</f>
        <v>0.10470046082949309</v>
      </c>
    </row>
    <row r="20" spans="2:6" x14ac:dyDescent="0.25">
      <c r="B20" s="56"/>
      <c r="C20" s="81" t="s">
        <v>42</v>
      </c>
      <c r="D20" s="60"/>
      <c r="E20" s="176">
        <v>177</v>
      </c>
      <c r="F20" s="58">
        <f t="shared" si="1"/>
        <v>3.2626728110599079E-2</v>
      </c>
    </row>
    <row r="21" spans="2:6" x14ac:dyDescent="0.25">
      <c r="B21" s="64"/>
      <c r="C21" s="81" t="s">
        <v>62</v>
      </c>
      <c r="D21" s="60"/>
      <c r="E21" s="177">
        <f>'Non-Compete Agreement'!E39</f>
        <v>51</v>
      </c>
      <c r="F21" s="58">
        <f t="shared" si="1"/>
        <v>9.400921658986176E-3</v>
      </c>
    </row>
    <row r="22" spans="2:6" x14ac:dyDescent="0.25">
      <c r="B22" s="65"/>
      <c r="C22" s="82" t="s">
        <v>63</v>
      </c>
      <c r="D22" s="61"/>
      <c r="E22" s="62">
        <v>777</v>
      </c>
      <c r="F22" s="63">
        <f t="shared" si="1"/>
        <v>0.1432258064516129</v>
      </c>
    </row>
    <row r="23" spans="2:6" x14ac:dyDescent="0.25">
      <c r="B23" s="64"/>
      <c r="C23" s="81"/>
      <c r="D23" s="60"/>
      <c r="E23" s="57"/>
      <c r="F23" s="66"/>
    </row>
    <row r="24" spans="2:6" x14ac:dyDescent="0.25">
      <c r="B24" s="67"/>
      <c r="C24" s="13" t="s">
        <v>64</v>
      </c>
      <c r="D24" s="68"/>
      <c r="E24" s="69">
        <f>E11-E17-E22</f>
        <v>4241</v>
      </c>
      <c r="F24" s="70">
        <f t="shared" si="1"/>
        <v>0.78175115207373269</v>
      </c>
    </row>
    <row r="25" spans="2:6" ht="15" customHeight="1" x14ac:dyDescent="0.25">
      <c r="B25" s="73" t="s">
        <v>65</v>
      </c>
      <c r="C25" s="74"/>
      <c r="D25" s="74"/>
      <c r="E25" s="48">
        <v>5425</v>
      </c>
      <c r="F25" s="49">
        <v>1</v>
      </c>
    </row>
  </sheetData>
  <pageMargins left="0.5" right="0.5" top="0.5" bottom="0.5" header="0.5" footer="0.5"/>
  <pageSetup scale="115" orientation="landscape" r:id="rId1"/>
  <headerFooter>
    <oddFooter>&amp;L&amp;G&amp;R&amp;"Arial,Regular"&amp;10&amp;K616161acuitykp.com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showGridLines="0" view="pageBreakPreview" zoomScaleNormal="100" zoomScaleSheetLayoutView="100" workbookViewId="0">
      <selection activeCell="G21" sqref="G21"/>
    </sheetView>
  </sheetViews>
  <sheetFormatPr defaultRowHeight="15" x14ac:dyDescent="0.25"/>
  <cols>
    <col min="1" max="1" width="3.5703125" customWidth="1"/>
    <col min="2" max="2" width="33.7109375" customWidth="1"/>
    <col min="3" max="3" width="3.28515625" customWidth="1"/>
    <col min="4" max="4" width="25.140625" customWidth="1"/>
    <col min="5" max="5" width="15.140625" bestFit="1" customWidth="1"/>
    <col min="6" max="6" width="16" bestFit="1" customWidth="1"/>
    <col min="7" max="7" width="9.140625" customWidth="1"/>
    <col min="8" max="8" width="3.5703125" customWidth="1"/>
  </cols>
  <sheetData>
    <row r="1" spans="2:7" ht="15.75" x14ac:dyDescent="0.25">
      <c r="B1" s="22" t="str">
        <f>Acq_name</f>
        <v>Acquisition Holdings Ltd.</v>
      </c>
      <c r="G1" s="83" t="str">
        <f>"Exhibit: "&amp;INDEX(TOC!$B$5:$E$24,MATCH($B$3,TOC!$E$5:$E$24,0),COLUMNS(TOC!N5))</f>
        <v>Exhibit: B</v>
      </c>
    </row>
    <row r="2" spans="2:7" x14ac:dyDescent="0.25">
      <c r="B2" s="23" t="str">
        <f>Targ_name</f>
        <v>WearOS Tech. Pvt. Ltd.</v>
      </c>
    </row>
    <row r="3" spans="2:7" x14ac:dyDescent="0.25">
      <c r="B3" s="24" t="str">
        <f>TOC!E8</f>
        <v>Weighted average return on assets</v>
      </c>
    </row>
    <row r="4" spans="2:7" x14ac:dyDescent="0.25">
      <c r="B4" s="29" t="str">
        <f>"Valuation as of "&amp;TEXT(Val_date,"DD MMMM YYYY")</f>
        <v>Valuation as of 31 March 2020</v>
      </c>
    </row>
    <row r="5" spans="2:7" x14ac:dyDescent="0.25">
      <c r="B5" s="31" t="str">
        <f>'Key Inputs and Assumptions'!C24</f>
        <v>(in USD ‘000s unless specified otherwise)</v>
      </c>
    </row>
    <row r="7" spans="2:7" x14ac:dyDescent="0.25">
      <c r="B7" s="217"/>
      <c r="C7" s="218"/>
      <c r="D7" s="218" t="s">
        <v>170</v>
      </c>
      <c r="E7" s="218" t="s">
        <v>171</v>
      </c>
      <c r="F7" s="219" t="s">
        <v>172</v>
      </c>
    </row>
    <row r="8" spans="2:7" x14ac:dyDescent="0.25">
      <c r="B8" s="220"/>
      <c r="C8" s="221"/>
      <c r="D8" s="221"/>
      <c r="E8" s="221"/>
      <c r="F8" s="222"/>
    </row>
    <row r="9" spans="2:7" ht="15.75" thickBot="1" x14ac:dyDescent="0.3">
      <c r="B9" s="71" t="s">
        <v>55</v>
      </c>
      <c r="C9" s="72"/>
      <c r="D9" s="38"/>
      <c r="E9" s="39"/>
      <c r="F9" s="40"/>
    </row>
    <row r="10" spans="2:7" x14ac:dyDescent="0.25">
      <c r="B10" s="224"/>
      <c r="C10" s="244" t="s">
        <v>173</v>
      </c>
      <c r="D10" s="221">
        <f>PFI!P26</f>
        <v>543</v>
      </c>
      <c r="E10" s="233">
        <v>3.3000000000000002E-2</v>
      </c>
      <c r="F10" s="230">
        <f>E10*D10/$D$21</f>
        <v>3.0166666666666666E-3</v>
      </c>
    </row>
    <row r="11" spans="2:7" x14ac:dyDescent="0.25">
      <c r="B11" s="224"/>
      <c r="C11" s="244" t="s">
        <v>174</v>
      </c>
      <c r="D11" s="221">
        <v>271</v>
      </c>
      <c r="E11" s="233">
        <v>4.1000000000000002E-2</v>
      </c>
      <c r="F11" s="230">
        <f t="shared" ref="F11:F12" si="0">E11*D11/$D$21</f>
        <v>1.8705387205387206E-3</v>
      </c>
    </row>
    <row r="12" spans="2:7" x14ac:dyDescent="0.25">
      <c r="B12" s="224"/>
      <c r="C12" s="244" t="s">
        <v>58</v>
      </c>
      <c r="D12" s="221">
        <v>109</v>
      </c>
      <c r="E12" s="233">
        <v>4.8000000000000001E-2</v>
      </c>
      <c r="F12" s="230">
        <f t="shared" si="0"/>
        <v>8.8080808080808089E-4</v>
      </c>
    </row>
    <row r="13" spans="2:7" x14ac:dyDescent="0.25">
      <c r="B13" s="223" t="s">
        <v>59</v>
      </c>
      <c r="C13" s="226"/>
      <c r="D13" s="226">
        <f>SUM(D10:D12)</f>
        <v>923</v>
      </c>
      <c r="E13" s="231"/>
      <c r="F13" s="232">
        <f>SUM(F10:F12)</f>
        <v>5.768013468013468E-3</v>
      </c>
    </row>
    <row r="14" spans="2:7" x14ac:dyDescent="0.25">
      <c r="B14" s="220"/>
      <c r="C14" s="221"/>
      <c r="D14" s="221"/>
      <c r="E14" s="229"/>
      <c r="F14" s="230"/>
    </row>
    <row r="15" spans="2:7" ht="15.75" thickBot="1" x14ac:dyDescent="0.3">
      <c r="B15" s="71" t="s">
        <v>175</v>
      </c>
      <c r="C15" s="72"/>
      <c r="D15" s="38"/>
      <c r="E15" s="39"/>
      <c r="F15" s="40"/>
    </row>
    <row r="16" spans="2:7" x14ac:dyDescent="0.25">
      <c r="B16" s="224" t="s">
        <v>61</v>
      </c>
      <c r="C16" s="225"/>
      <c r="D16" s="227">
        <f>'Trade Name and Trademarks'!G27</f>
        <v>568</v>
      </c>
      <c r="E16" s="229">
        <f>'Trade Name and Trademarks'!F20</f>
        <v>0.185</v>
      </c>
      <c r="F16" s="230">
        <f t="shared" ref="F16:F20" si="1">E16*D16/$D$21</f>
        <v>1.769023569023569E-2</v>
      </c>
    </row>
    <row r="17" spans="2:7" x14ac:dyDescent="0.25">
      <c r="B17" s="224" t="s">
        <v>42</v>
      </c>
      <c r="C17" s="225"/>
      <c r="D17" s="221">
        <v>177</v>
      </c>
      <c r="E17" s="229">
        <f>'Dev. Tech.'!F32</f>
        <v>0.185</v>
      </c>
      <c r="F17" s="230">
        <f t="shared" si="1"/>
        <v>5.5126262626262624E-3</v>
      </c>
    </row>
    <row r="18" spans="2:7" x14ac:dyDescent="0.25">
      <c r="B18" s="224" t="s">
        <v>176</v>
      </c>
      <c r="C18" s="225"/>
      <c r="D18" s="227">
        <f>'Non-Compete Agreement'!E39</f>
        <v>51</v>
      </c>
      <c r="E18" s="229">
        <f>'Non-Compete Agreement'!D29</f>
        <v>0.185</v>
      </c>
      <c r="F18" s="230">
        <f t="shared" si="1"/>
        <v>1.5883838383838386E-3</v>
      </c>
    </row>
    <row r="19" spans="2:7" x14ac:dyDescent="0.25">
      <c r="B19" s="223" t="s">
        <v>177</v>
      </c>
      <c r="C19" s="226"/>
      <c r="D19" s="228">
        <f>SUM(D16:D18)</f>
        <v>796</v>
      </c>
      <c r="E19" s="231"/>
      <c r="F19" s="232">
        <f>SUM(F16:F18)</f>
        <v>2.4791245791245795E-2</v>
      </c>
    </row>
    <row r="20" spans="2:7" x14ac:dyDescent="0.25">
      <c r="B20" s="224" t="s">
        <v>64</v>
      </c>
      <c r="C20" s="221"/>
      <c r="D20" s="227">
        <f>D21-D13-D19</f>
        <v>4221</v>
      </c>
      <c r="E20" s="233">
        <v>0.22</v>
      </c>
      <c r="F20" s="230">
        <f t="shared" si="1"/>
        <v>0.15633333333333332</v>
      </c>
    </row>
    <row r="21" spans="2:7" x14ac:dyDescent="0.25">
      <c r="B21" s="73" t="s">
        <v>54</v>
      </c>
      <c r="C21" s="74"/>
      <c r="D21" s="48">
        <f>D24-D23</f>
        <v>5940</v>
      </c>
      <c r="E21" s="48"/>
      <c r="F21" s="49">
        <f>F20+F19+F13</f>
        <v>0.18689259259259261</v>
      </c>
      <c r="G21" s="29" t="s">
        <v>190</v>
      </c>
    </row>
    <row r="22" spans="2:7" s="30" customFormat="1" x14ac:dyDescent="0.25">
      <c r="B22" s="247"/>
      <c r="C22" s="248"/>
      <c r="D22" s="247"/>
      <c r="E22" s="246"/>
      <c r="F22" s="252">
        <f>WACC!G23</f>
        <v>0.185</v>
      </c>
      <c r="G22" s="29" t="s">
        <v>191</v>
      </c>
    </row>
    <row r="23" spans="2:7" x14ac:dyDescent="0.25">
      <c r="B23" s="224" t="s">
        <v>64</v>
      </c>
      <c r="C23" s="221"/>
      <c r="D23" s="227">
        <v>-515</v>
      </c>
      <c r="E23" s="249"/>
      <c r="F23" s="250">
        <f>IRR!F30</f>
        <v>0.17699999999999999</v>
      </c>
      <c r="G23" s="29" t="s">
        <v>192</v>
      </c>
    </row>
    <row r="24" spans="2:7" x14ac:dyDescent="0.25">
      <c r="B24" s="73" t="s">
        <v>54</v>
      </c>
      <c r="C24" s="74"/>
      <c r="D24" s="48">
        <f>WACC!E10</f>
        <v>5425</v>
      </c>
      <c r="E24" s="251"/>
      <c r="F24" s="245"/>
    </row>
    <row r="25" spans="2:7" x14ac:dyDescent="0.25">
      <c r="B25" s="3"/>
      <c r="C25" s="3"/>
      <c r="D25" s="3"/>
      <c r="E25" s="3"/>
      <c r="F25" s="3"/>
    </row>
  </sheetData>
  <pageMargins left="0.5" right="0.5" top="0.5" bottom="0.5" header="0.5" footer="0.5"/>
  <pageSetup scale="1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view="pageBreakPreview" zoomScaleNormal="100" zoomScaleSheetLayoutView="100" workbookViewId="0">
      <selection activeCell="D15" sqref="D15:H17"/>
    </sheetView>
  </sheetViews>
  <sheetFormatPr defaultRowHeight="15" x14ac:dyDescent="0.25"/>
  <cols>
    <col min="1" max="1" width="3.5703125" customWidth="1"/>
    <col min="2" max="2" width="29.5703125" customWidth="1"/>
    <col min="4" max="8" width="12.7109375" customWidth="1"/>
    <col min="9" max="9" width="3.5703125" customWidth="1"/>
  </cols>
  <sheetData>
    <row r="1" spans="1:9" ht="15.75" x14ac:dyDescent="0.25">
      <c r="A1" s="2"/>
      <c r="B1" s="22" t="str">
        <f>Acq_name</f>
        <v>Acquisition Holdings Ltd.</v>
      </c>
      <c r="I1" s="83" t="str">
        <f>"Exhibit: "&amp;INDEX(TOC!$B$5:$E$24,MATCH($B$3,TOC!$E$5:$E$24,0),COLUMNS(TOC!D5))</f>
        <v>Exhibit: C</v>
      </c>
    </row>
    <row r="2" spans="1:9" x14ac:dyDescent="0.25">
      <c r="A2" s="2"/>
      <c r="B2" s="23" t="str">
        <f>Targ_name</f>
        <v>WearOS Tech. Pvt. Ltd.</v>
      </c>
    </row>
    <row r="3" spans="1:9" x14ac:dyDescent="0.25">
      <c r="A3" s="2"/>
      <c r="B3" s="24" t="str">
        <f>TOC!E9</f>
        <v>Historical Income Statement</v>
      </c>
    </row>
    <row r="4" spans="1:9" x14ac:dyDescent="0.25">
      <c r="B4" s="29" t="str">
        <f>"Valuation as of "&amp;TEXT(Val_date,"DD MMMM YYYY")</f>
        <v>Valuation as of 31 March 2020</v>
      </c>
    </row>
    <row r="5" spans="1:9" x14ac:dyDescent="0.25">
      <c r="B5" s="31" t="str">
        <f>'Key Inputs and Assumptions'!C24</f>
        <v>(in USD ‘000s unless specified otherwise)</v>
      </c>
    </row>
    <row r="7" spans="1:9" ht="25.5" x14ac:dyDescent="0.25">
      <c r="B7" s="33" t="s">
        <v>66</v>
      </c>
      <c r="C7" s="34"/>
      <c r="D7" s="36"/>
      <c r="E7" s="36"/>
      <c r="F7" s="36"/>
      <c r="G7" s="36"/>
      <c r="H7" s="84" t="str">
        <f>"Period ended: "</f>
        <v xml:space="preserve">Period ended: </v>
      </c>
    </row>
    <row r="8" spans="1:9" x14ac:dyDescent="0.25">
      <c r="B8" s="89"/>
      <c r="C8" s="90"/>
      <c r="D8" s="91">
        <f>E8-1</f>
        <v>2016</v>
      </c>
      <c r="E8" s="91">
        <f>F8-1</f>
        <v>2017</v>
      </c>
      <c r="F8" s="91">
        <f>G8-1</f>
        <v>2018</v>
      </c>
      <c r="G8" s="91">
        <f>YEAR(LFY)</f>
        <v>2019</v>
      </c>
      <c r="H8" s="92" t="str">
        <f>TEXT(TTM,"DD MMM YYYY")</f>
        <v>31 Mar 2020</v>
      </c>
    </row>
    <row r="9" spans="1:9" s="3" customFormat="1" ht="13.5" thickBot="1" x14ac:dyDescent="0.25">
      <c r="B9" s="292"/>
      <c r="C9" s="293"/>
      <c r="D9" s="293"/>
      <c r="E9" s="293"/>
      <c r="F9" s="293"/>
      <c r="G9" s="293"/>
      <c r="H9" s="294"/>
    </row>
    <row r="10" spans="1:9" s="3" customFormat="1" ht="13.5" thickBot="1" x14ac:dyDescent="0.25">
      <c r="B10" s="274" t="s">
        <v>67</v>
      </c>
      <c r="C10" s="275"/>
      <c r="D10" s="279">
        <v>3152</v>
      </c>
      <c r="E10" s="279">
        <v>3517</v>
      </c>
      <c r="F10" s="279">
        <v>4015</v>
      </c>
      <c r="G10" s="279">
        <v>4718</v>
      </c>
      <c r="H10" s="280">
        <v>1356</v>
      </c>
    </row>
    <row r="11" spans="1:9" s="3" customFormat="1" ht="13.5" thickBot="1" x14ac:dyDescent="0.25">
      <c r="B11" s="274" t="s">
        <v>232</v>
      </c>
      <c r="C11" s="275"/>
      <c r="D11" s="279">
        <v>-642.94912754976656</v>
      </c>
      <c r="E11" s="279">
        <v>-717.402310149914</v>
      </c>
      <c r="F11" s="279">
        <v>-818.98500860162198</v>
      </c>
      <c r="G11" s="279">
        <v>-962.38387810272798</v>
      </c>
      <c r="H11" s="280">
        <v>-276.59867289260262</v>
      </c>
    </row>
    <row r="12" spans="1:9" s="3" customFormat="1" ht="13.5" thickBot="1" x14ac:dyDescent="0.25">
      <c r="B12" s="281" t="s">
        <v>68</v>
      </c>
      <c r="C12" s="275"/>
      <c r="D12" s="282">
        <f>SUM(D10:D11)</f>
        <v>2509.0508724502333</v>
      </c>
      <c r="E12" s="282">
        <f t="shared" ref="E12:H12" si="0">SUM(E10:E11)</f>
        <v>2799.5976898500858</v>
      </c>
      <c r="F12" s="282">
        <f t="shared" si="0"/>
        <v>3196.0149913983778</v>
      </c>
      <c r="G12" s="282">
        <f t="shared" si="0"/>
        <v>3755.616121897272</v>
      </c>
      <c r="H12" s="283">
        <f t="shared" si="0"/>
        <v>1079.4013271073973</v>
      </c>
    </row>
    <row r="13" spans="1:9" s="3" customFormat="1" ht="13.5" thickBot="1" x14ac:dyDescent="0.25">
      <c r="B13" s="274"/>
      <c r="C13" s="275"/>
      <c r="D13" s="284"/>
      <c r="E13" s="284"/>
      <c r="F13" s="284"/>
      <c r="G13" s="284"/>
      <c r="H13" s="285"/>
    </row>
    <row r="14" spans="1:9" s="3" customFormat="1" ht="13.5" thickBot="1" x14ac:dyDescent="0.25">
      <c r="B14" s="281" t="s">
        <v>69</v>
      </c>
      <c r="C14" s="275"/>
      <c r="D14" s="284"/>
      <c r="E14" s="284"/>
      <c r="F14" s="284"/>
      <c r="G14" s="284"/>
      <c r="H14" s="285"/>
    </row>
    <row r="15" spans="1:9" s="3" customFormat="1" ht="13.5" thickBot="1" x14ac:dyDescent="0.25">
      <c r="B15" s="274" t="s">
        <v>234</v>
      </c>
      <c r="C15" s="275"/>
      <c r="D15" s="279">
        <v>-1787.8633570901941</v>
      </c>
      <c r="E15" s="279">
        <v>-1994.8970262963874</v>
      </c>
      <c r="F15" s="279">
        <v>-2277.3703612681247</v>
      </c>
      <c r="G15" s="279">
        <v>-2676.1228803145736</v>
      </c>
      <c r="H15" s="280">
        <v>-769.14426148930943</v>
      </c>
    </row>
    <row r="16" spans="1:9" s="3" customFormat="1" ht="13.5" thickBot="1" x14ac:dyDescent="0.25">
      <c r="B16" s="274" t="s">
        <v>233</v>
      </c>
      <c r="C16" s="275"/>
      <c r="D16" s="279">
        <v>-1787.8633570901941</v>
      </c>
      <c r="E16" s="279">
        <v>-1994.8970262963874</v>
      </c>
      <c r="F16" s="279">
        <v>-2277.3703612681247</v>
      </c>
      <c r="G16" s="279">
        <v>-2676.1228803145736</v>
      </c>
      <c r="H16" s="280">
        <v>-769.14426148930943</v>
      </c>
    </row>
    <row r="17" spans="2:8" s="3" customFormat="1" ht="13.5" thickBot="1" x14ac:dyDescent="0.25">
      <c r="B17" s="274" t="s">
        <v>235</v>
      </c>
      <c r="C17" s="275"/>
      <c r="D17" s="279">
        <v>-1787.8633570901941</v>
      </c>
      <c r="E17" s="279">
        <v>-1994.8970262963874</v>
      </c>
      <c r="F17" s="279">
        <v>-2277.3703612681247</v>
      </c>
      <c r="G17" s="279">
        <v>-2676.1228803145736</v>
      </c>
      <c r="H17" s="280">
        <v>-769.14426148930943</v>
      </c>
    </row>
    <row r="18" spans="2:8" s="3" customFormat="1" ht="13.5" thickBot="1" x14ac:dyDescent="0.25">
      <c r="B18" s="274" t="s">
        <v>236</v>
      </c>
      <c r="C18" s="275"/>
      <c r="D18" s="279"/>
      <c r="E18" s="279"/>
      <c r="F18" s="279"/>
      <c r="G18" s="279"/>
      <c r="H18" s="280"/>
    </row>
    <row r="19" spans="2:8" s="3" customFormat="1" ht="13.5" thickBot="1" x14ac:dyDescent="0.25">
      <c r="B19" s="281" t="s">
        <v>70</v>
      </c>
      <c r="C19" s="275"/>
      <c r="D19" s="282">
        <f>SUM(D12:D17)</f>
        <v>-2854.5391988203492</v>
      </c>
      <c r="E19" s="282">
        <f t="shared" ref="E19:H19" si="1">SUM(E12:E17)</f>
        <v>-3185.0933890390761</v>
      </c>
      <c r="F19" s="282">
        <f t="shared" si="1"/>
        <v>-3636.0960924059964</v>
      </c>
      <c r="G19" s="282">
        <f t="shared" si="1"/>
        <v>-4272.7525190464494</v>
      </c>
      <c r="H19" s="283">
        <f t="shared" si="1"/>
        <v>-1228.031457360531</v>
      </c>
    </row>
    <row r="20" spans="2:8" s="3" customFormat="1" ht="13.5" thickBot="1" x14ac:dyDescent="0.25">
      <c r="B20" s="274"/>
      <c r="C20" s="275"/>
      <c r="D20" s="284"/>
      <c r="E20" s="284"/>
      <c r="F20" s="284"/>
      <c r="G20" s="284"/>
      <c r="H20" s="285"/>
    </row>
    <row r="21" spans="2:8" s="3" customFormat="1" ht="13.5" thickBot="1" x14ac:dyDescent="0.25">
      <c r="B21" s="274" t="s">
        <v>71</v>
      </c>
      <c r="C21" s="275"/>
      <c r="D21" s="279">
        <v>3152</v>
      </c>
      <c r="E21" s="279">
        <v>3517</v>
      </c>
      <c r="F21" s="279">
        <v>4015</v>
      </c>
      <c r="G21" s="279">
        <v>4718</v>
      </c>
      <c r="H21" s="280">
        <v>1356</v>
      </c>
    </row>
    <row r="22" spans="2:8" s="3" customFormat="1" ht="13.5" thickBot="1" x14ac:dyDescent="0.25">
      <c r="B22" s="274" t="s">
        <v>72</v>
      </c>
      <c r="C22" s="275"/>
      <c r="D22" s="279">
        <v>0</v>
      </c>
      <c r="E22" s="279">
        <v>0</v>
      </c>
      <c r="F22" s="279">
        <v>0</v>
      </c>
      <c r="G22" s="279">
        <v>0</v>
      </c>
      <c r="H22" s="280">
        <v>0</v>
      </c>
    </row>
    <row r="23" spans="2:8" s="3" customFormat="1" ht="13.5" thickBot="1" x14ac:dyDescent="0.25">
      <c r="B23" s="281" t="s">
        <v>73</v>
      </c>
      <c r="C23" s="286"/>
      <c r="D23" s="282">
        <f>SUM(D19:D22)</f>
        <v>297.46080117965084</v>
      </c>
      <c r="E23" s="282">
        <f t="shared" ref="E23:H23" si="2">SUM(E19:E22)</f>
        <v>331.9066109609239</v>
      </c>
      <c r="F23" s="282">
        <f t="shared" si="2"/>
        <v>378.90390759400361</v>
      </c>
      <c r="G23" s="282">
        <f t="shared" si="2"/>
        <v>445.24748095355062</v>
      </c>
      <c r="H23" s="283">
        <f t="shared" si="2"/>
        <v>127.96854263946898</v>
      </c>
    </row>
    <row r="24" spans="2:8" s="3" customFormat="1" ht="13.5" thickBot="1" x14ac:dyDescent="0.25">
      <c r="B24" s="274"/>
      <c r="C24" s="275"/>
      <c r="D24" s="284"/>
      <c r="E24" s="284"/>
      <c r="F24" s="284"/>
      <c r="G24" s="284"/>
      <c r="H24" s="285"/>
    </row>
    <row r="25" spans="2:8" s="3" customFormat="1" ht="13.5" thickBot="1" x14ac:dyDescent="0.25">
      <c r="B25" s="274" t="s">
        <v>74</v>
      </c>
      <c r="C25" s="287">
        <f>tax_rate</f>
        <v>0.26140000000000002</v>
      </c>
      <c r="D25" s="284">
        <f>-$C$25*MAX(D23,0)</f>
        <v>-77.756253428360736</v>
      </c>
      <c r="E25" s="284">
        <f t="shared" ref="E25:H25" si="3">-$C$25*MAX(E23,0)</f>
        <v>-86.760388105185513</v>
      </c>
      <c r="F25" s="284">
        <f t="shared" si="3"/>
        <v>-99.045481445072554</v>
      </c>
      <c r="G25" s="284">
        <f t="shared" si="3"/>
        <v>-116.38769152125815</v>
      </c>
      <c r="H25" s="285">
        <f t="shared" si="3"/>
        <v>-33.450977045957195</v>
      </c>
    </row>
    <row r="26" spans="2:8" s="3" customFormat="1" ht="12.75" x14ac:dyDescent="0.2">
      <c r="B26" s="288" t="s">
        <v>75</v>
      </c>
      <c r="C26" s="289"/>
      <c r="D26" s="290">
        <f>SUM(D23:D25)</f>
        <v>219.70454775129011</v>
      </c>
      <c r="E26" s="290">
        <f t="shared" ref="E26:H26" si="4">SUM(E23:E25)</f>
        <v>245.14622285573839</v>
      </c>
      <c r="F26" s="290">
        <f t="shared" si="4"/>
        <v>279.85842614893107</v>
      </c>
      <c r="G26" s="290">
        <f t="shared" si="4"/>
        <v>328.85978943229247</v>
      </c>
      <c r="H26" s="291">
        <f t="shared" si="4"/>
        <v>94.51756559351179</v>
      </c>
    </row>
    <row r="27" spans="2:8" s="3" customFormat="1" ht="12.75" x14ac:dyDescent="0.2"/>
    <row r="28" spans="2:8" s="3" customFormat="1" ht="12.75" x14ac:dyDescent="0.2"/>
    <row r="29" spans="2:8" s="3" customFormat="1" ht="12.75" x14ac:dyDescent="0.2"/>
    <row r="30" spans="2:8" s="3" customFormat="1" ht="12.75" x14ac:dyDescent="0.2">
      <c r="B30" s="85" t="s">
        <v>76</v>
      </c>
      <c r="C30" s="86"/>
      <c r="D30" s="86"/>
      <c r="E30" s="86"/>
      <c r="F30" s="86"/>
      <c r="G30" s="86"/>
      <c r="H30" s="93"/>
    </row>
    <row r="31" spans="2:8" s="3" customFormat="1" ht="12.75" x14ac:dyDescent="0.2">
      <c r="B31" s="88" t="s">
        <v>77</v>
      </c>
      <c r="C31" s="87"/>
      <c r="D31" s="94" t="s">
        <v>83</v>
      </c>
      <c r="E31" s="95">
        <f>E10/D10-1</f>
        <v>0.1157994923857868</v>
      </c>
      <c r="F31" s="95">
        <f t="shared" ref="F31:G31" si="5">F10/E10-1</f>
        <v>0.14159795280068233</v>
      </c>
      <c r="G31" s="95">
        <f t="shared" si="5"/>
        <v>0.17509339975093408</v>
      </c>
      <c r="H31" s="165" t="s">
        <v>83</v>
      </c>
    </row>
    <row r="32" spans="2:8" s="3" customFormat="1" ht="12.75" x14ac:dyDescent="0.2">
      <c r="B32" s="88" t="s">
        <v>78</v>
      </c>
      <c r="C32" s="87"/>
      <c r="D32" s="95">
        <f>D12/D$10</f>
        <v>0.7960186778078151</v>
      </c>
      <c r="E32" s="95">
        <f t="shared" ref="E32:H32" si="6">E12/E$10</f>
        <v>0.7960186778078151</v>
      </c>
      <c r="F32" s="95">
        <f t="shared" si="6"/>
        <v>0.7960186778078151</v>
      </c>
      <c r="G32" s="95">
        <f t="shared" si="6"/>
        <v>0.79601867780781521</v>
      </c>
      <c r="H32" s="97">
        <f t="shared" si="6"/>
        <v>0.7960186778078151</v>
      </c>
    </row>
    <row r="33" spans="2:8" s="3" customFormat="1" ht="12.75" x14ac:dyDescent="0.2">
      <c r="B33" s="88" t="s">
        <v>79</v>
      </c>
      <c r="C33" s="87"/>
      <c r="D33" s="95">
        <f>D19/D$10</f>
        <v>-0.90562791840747114</v>
      </c>
      <c r="E33" s="95">
        <f t="shared" ref="E33:H33" si="7">E19/E$10</f>
        <v>-0.90562791840747114</v>
      </c>
      <c r="F33" s="95">
        <f t="shared" si="7"/>
        <v>-0.90562791840747103</v>
      </c>
      <c r="G33" s="95">
        <f t="shared" si="7"/>
        <v>-0.90562791840747126</v>
      </c>
      <c r="H33" s="97">
        <f t="shared" si="7"/>
        <v>-0.90562791840747126</v>
      </c>
    </row>
    <row r="34" spans="2:8" s="3" customFormat="1" ht="12.75" x14ac:dyDescent="0.2">
      <c r="B34" s="88" t="s">
        <v>80</v>
      </c>
      <c r="C34" s="87"/>
      <c r="D34" s="95">
        <f>D23/D$10</f>
        <v>9.4372081592528814E-2</v>
      </c>
      <c r="E34" s="95">
        <f t="shared" ref="E34:H34" si="8">E23/E$10</f>
        <v>9.4372081592528828E-2</v>
      </c>
      <c r="F34" s="95">
        <f t="shared" si="8"/>
        <v>9.4372081592528925E-2</v>
      </c>
      <c r="G34" s="95">
        <f t="shared" si="8"/>
        <v>9.4372081592528745E-2</v>
      </c>
      <c r="H34" s="97">
        <f t="shared" si="8"/>
        <v>9.4372081592528745E-2</v>
      </c>
    </row>
    <row r="35" spans="2:8" s="3" customFormat="1" ht="12.75" x14ac:dyDescent="0.2">
      <c r="B35" s="88" t="s">
        <v>81</v>
      </c>
      <c r="C35" s="87"/>
      <c r="D35" s="95">
        <f>D21/D$10</f>
        <v>1</v>
      </c>
      <c r="E35" s="95">
        <f t="shared" ref="E35:H35" si="9">E21/E$10</f>
        <v>1</v>
      </c>
      <c r="F35" s="95">
        <f t="shared" si="9"/>
        <v>1</v>
      </c>
      <c r="G35" s="95">
        <f t="shared" si="9"/>
        <v>1</v>
      </c>
      <c r="H35" s="97">
        <f t="shared" si="9"/>
        <v>1</v>
      </c>
    </row>
    <row r="36" spans="2:8" s="3" customFormat="1" ht="12.75" x14ac:dyDescent="0.2">
      <c r="B36" s="88" t="s">
        <v>82</v>
      </c>
      <c r="C36" s="87"/>
      <c r="D36" s="95">
        <f>D22/D$10</f>
        <v>0</v>
      </c>
      <c r="E36" s="95">
        <f t="shared" ref="E36:H36" si="10">E22/E$10</f>
        <v>0</v>
      </c>
      <c r="F36" s="95">
        <f t="shared" si="10"/>
        <v>0</v>
      </c>
      <c r="G36" s="95">
        <f t="shared" si="10"/>
        <v>0</v>
      </c>
      <c r="H36" s="97">
        <f t="shared" si="10"/>
        <v>0</v>
      </c>
    </row>
    <row r="37" spans="2:8" s="3" customFormat="1" ht="12.75" x14ac:dyDescent="0.2"/>
    <row r="38" spans="2:8" s="3" customFormat="1" ht="12.75" x14ac:dyDescent="0.2"/>
    <row r="39" spans="2:8" s="3" customFormat="1" ht="12.75" x14ac:dyDescent="0.2"/>
    <row r="40" spans="2:8" s="3" customFormat="1" ht="12.75" x14ac:dyDescent="0.2"/>
    <row r="41" spans="2:8" s="3" customFormat="1" ht="12.75" x14ac:dyDescent="0.2"/>
    <row r="42" spans="2:8" s="3" customFormat="1" ht="12.75" x14ac:dyDescent="0.2"/>
    <row r="43" spans="2:8" s="3" customFormat="1" ht="12.75" x14ac:dyDescent="0.2"/>
    <row r="44" spans="2:8" s="3" customFormat="1" ht="12.75" x14ac:dyDescent="0.2"/>
    <row r="45" spans="2:8" s="3" customFormat="1" ht="12.75" x14ac:dyDescent="0.2"/>
    <row r="46" spans="2:8" s="3" customFormat="1" ht="12.75" x14ac:dyDescent="0.2"/>
    <row r="47" spans="2:8" s="3" customFormat="1" ht="12.75" x14ac:dyDescent="0.2"/>
    <row r="48" spans="2:8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  <row r="52" s="3" customFormat="1" ht="12.75" x14ac:dyDescent="0.2"/>
    <row r="53" s="3" customFormat="1" ht="12.75" x14ac:dyDescent="0.2"/>
    <row r="54" s="3" customFormat="1" ht="12.75" x14ac:dyDescent="0.2"/>
    <row r="55" s="3" customFormat="1" ht="12.75" x14ac:dyDescent="0.2"/>
    <row r="56" s="3" customFormat="1" ht="12.75" x14ac:dyDescent="0.2"/>
    <row r="57" s="3" customFormat="1" ht="12.75" x14ac:dyDescent="0.2"/>
    <row r="58" s="3" customFormat="1" ht="12.75" x14ac:dyDescent="0.2"/>
    <row r="59" s="3" customFormat="1" ht="12.75" x14ac:dyDescent="0.2"/>
    <row r="60" s="3" customFormat="1" ht="12.75" x14ac:dyDescent="0.2"/>
    <row r="61" s="3" customFormat="1" ht="12.75" x14ac:dyDescent="0.2"/>
    <row r="62" s="3" customFormat="1" ht="12.75" x14ac:dyDescent="0.2"/>
    <row r="63" s="3" customFormat="1" ht="12.75" x14ac:dyDescent="0.2"/>
    <row r="64" s="3" customFormat="1" ht="12.75" x14ac:dyDescent="0.2"/>
    <row r="65" s="3" customFormat="1" ht="12.75" x14ac:dyDescent="0.2"/>
  </sheetData>
  <pageMargins left="0.5" right="0.5" top="0.5" bottom="0.5" header="0.5" footer="0.5"/>
  <pageSetup scale="115" orientation="landscape" r:id="rId1"/>
  <headerFooter>
    <oddFooter>&amp;L&amp;G&amp;R&amp;"Arial,Regular"&amp;10&amp;K616161acuitykp.com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view="pageBreakPreview" topLeftCell="A6" zoomScaleNormal="100" zoomScaleSheetLayoutView="100" workbookViewId="0">
      <selection activeCell="D11" sqref="D11:H11"/>
    </sheetView>
  </sheetViews>
  <sheetFormatPr defaultRowHeight="15" x14ac:dyDescent="0.25"/>
  <cols>
    <col min="1" max="1" width="3.5703125" customWidth="1"/>
    <col min="2" max="2" width="35.42578125" customWidth="1"/>
    <col min="3" max="3" width="7.85546875" customWidth="1"/>
    <col min="4" max="8" width="12.7109375" customWidth="1"/>
    <col min="9" max="9" width="3.5703125" customWidth="1"/>
  </cols>
  <sheetData>
    <row r="1" spans="1:9" ht="15.75" x14ac:dyDescent="0.25">
      <c r="A1" s="2"/>
      <c r="B1" s="22" t="str">
        <f>Acq_name</f>
        <v>Acquisition Holdings Ltd.</v>
      </c>
      <c r="I1" s="83" t="str">
        <f>"Exhibit: "&amp;INDEX(TOC!$B$5:$E$24,MATCH($B$3,TOC!$E$5:$E$24,0),COLUMNS(TOC!D5))</f>
        <v>Exhibit: D</v>
      </c>
    </row>
    <row r="2" spans="1:9" x14ac:dyDescent="0.25">
      <c r="A2" s="2"/>
      <c r="B2" s="23" t="str">
        <f>Targ_name</f>
        <v>WearOS Tech. Pvt. Ltd.</v>
      </c>
    </row>
    <row r="3" spans="1:9" x14ac:dyDescent="0.25">
      <c r="A3" s="2"/>
      <c r="B3" s="24" t="str">
        <f>TOC!E10</f>
        <v>Historical Balance Sheet</v>
      </c>
    </row>
    <row r="4" spans="1:9" x14ac:dyDescent="0.25">
      <c r="B4" s="29" t="str">
        <f>"Valuation as of "&amp;TEXT(Val_date,"DD MMMM YYYY")</f>
        <v>Valuation as of 31 March 2020</v>
      </c>
    </row>
    <row r="5" spans="1:9" x14ac:dyDescent="0.25">
      <c r="B5" s="31" t="str">
        <f>'Key Inputs and Assumptions'!C24</f>
        <v>(in USD ‘000s unless specified otherwise)</v>
      </c>
    </row>
    <row r="7" spans="1:9" ht="15.75" thickBot="1" x14ac:dyDescent="0.3">
      <c r="B7" s="272" t="s">
        <v>204</v>
      </c>
      <c r="C7" s="273"/>
      <c r="D7" s="330" t="s">
        <v>231</v>
      </c>
      <c r="E7" s="330"/>
      <c r="F7" s="330"/>
      <c r="G7" s="330"/>
      <c r="H7" s="331" t="str">
        <f>TEXT(TTM,"MMMM DD,")</f>
        <v>March 31,</v>
      </c>
    </row>
    <row r="8" spans="1:9" x14ac:dyDescent="0.25">
      <c r="B8" s="295"/>
      <c r="C8" s="296"/>
      <c r="D8" s="297">
        <f>E8-1</f>
        <v>2016</v>
      </c>
      <c r="E8" s="297">
        <f>F8-1</f>
        <v>2017</v>
      </c>
      <c r="F8" s="297">
        <f>G8-1</f>
        <v>2018</v>
      </c>
      <c r="G8" s="297">
        <f>YEAR(LFY)</f>
        <v>2019</v>
      </c>
      <c r="H8" s="298">
        <f>YEAR(TTM)</f>
        <v>2020</v>
      </c>
    </row>
    <row r="9" spans="1:9" s="3" customFormat="1" ht="13.5" thickBot="1" x14ac:dyDescent="0.25">
      <c r="B9" s="292"/>
      <c r="C9" s="293"/>
      <c r="D9" s="293"/>
      <c r="E9" s="293"/>
      <c r="F9" s="293"/>
      <c r="G9" s="293"/>
      <c r="H9" s="294"/>
    </row>
    <row r="10" spans="1:9" s="3" customFormat="1" ht="13.5" thickBot="1" x14ac:dyDescent="0.25">
      <c r="B10" s="324" t="s">
        <v>207</v>
      </c>
      <c r="C10" s="277"/>
      <c r="D10" s="325"/>
      <c r="E10" s="325"/>
      <c r="F10" s="325"/>
      <c r="G10" s="325"/>
      <c r="H10" s="326"/>
    </row>
    <row r="11" spans="1:9" s="3" customFormat="1" ht="13.5" thickBot="1" x14ac:dyDescent="0.25">
      <c r="B11" s="276" t="s">
        <v>208</v>
      </c>
      <c r="C11" s="277"/>
      <c r="D11" s="325"/>
      <c r="E11" s="325">
        <v>108.5</v>
      </c>
      <c r="F11" s="325">
        <v>108.5</v>
      </c>
      <c r="G11" s="325">
        <v>108.5</v>
      </c>
      <c r="H11" s="326">
        <v>108.5</v>
      </c>
    </row>
    <row r="12" spans="1:9" s="3" customFormat="1" ht="13.5" thickBot="1" x14ac:dyDescent="0.25">
      <c r="B12" s="276" t="s">
        <v>209</v>
      </c>
      <c r="C12" s="277"/>
      <c r="D12" s="325"/>
      <c r="E12" s="325">
        <v>27.125</v>
      </c>
      <c r="F12" s="325">
        <v>27.125</v>
      </c>
      <c r="G12" s="325">
        <v>27.125</v>
      </c>
      <c r="H12" s="326">
        <v>27.125</v>
      </c>
    </row>
    <row r="13" spans="1:9" s="3" customFormat="1" ht="13.5" thickBot="1" x14ac:dyDescent="0.25">
      <c r="B13" s="276" t="s">
        <v>210</v>
      </c>
      <c r="C13" s="277"/>
      <c r="D13" s="325"/>
      <c r="E13" s="325">
        <v>27.125</v>
      </c>
      <c r="F13" s="325">
        <v>27.125</v>
      </c>
      <c r="G13" s="325">
        <v>27.125</v>
      </c>
      <c r="H13" s="326">
        <v>27.125</v>
      </c>
    </row>
    <row r="14" spans="1:9" s="3" customFormat="1" ht="13.5" thickBot="1" x14ac:dyDescent="0.25">
      <c r="B14" s="332" t="s">
        <v>211</v>
      </c>
      <c r="C14" s="333"/>
      <c r="D14" s="334"/>
      <c r="E14" s="334">
        <f>SUM(E11:E13)</f>
        <v>162.75</v>
      </c>
      <c r="F14" s="334">
        <f t="shared" ref="F14:H14" si="0">SUM(F11:F13)</f>
        <v>162.75</v>
      </c>
      <c r="G14" s="334">
        <f t="shared" si="0"/>
        <v>162.75</v>
      </c>
      <c r="H14" s="335">
        <f t="shared" si="0"/>
        <v>162.75</v>
      </c>
    </row>
    <row r="15" spans="1:9" s="3" customFormat="1" ht="13.5" thickBot="1" x14ac:dyDescent="0.25">
      <c r="B15" s="336" t="s">
        <v>212</v>
      </c>
      <c r="C15" s="337"/>
      <c r="D15" s="338"/>
      <c r="E15" s="338"/>
      <c r="F15" s="338"/>
      <c r="G15" s="338"/>
      <c r="H15" s="339"/>
    </row>
    <row r="16" spans="1:9" s="3" customFormat="1" ht="13.5" thickBot="1" x14ac:dyDescent="0.25">
      <c r="B16" s="276" t="s">
        <v>57</v>
      </c>
      <c r="C16" s="277"/>
      <c r="D16" s="325"/>
      <c r="E16" s="325">
        <v>271.25</v>
      </c>
      <c r="F16" s="325">
        <v>271.25</v>
      </c>
      <c r="G16" s="325">
        <v>271.25</v>
      </c>
      <c r="H16" s="326">
        <v>271.25</v>
      </c>
    </row>
    <row r="17" spans="2:8" s="3" customFormat="1" ht="13.5" thickBot="1" x14ac:dyDescent="0.25">
      <c r="B17" s="276" t="s">
        <v>213</v>
      </c>
      <c r="C17" s="277"/>
      <c r="D17" s="325"/>
      <c r="E17" s="325">
        <v>108.5</v>
      </c>
      <c r="F17" s="325">
        <v>108.5</v>
      </c>
      <c r="G17" s="325">
        <v>108.5</v>
      </c>
      <c r="H17" s="326">
        <v>108.5</v>
      </c>
    </row>
    <row r="18" spans="2:8" s="3" customFormat="1" ht="13.5" thickBot="1" x14ac:dyDescent="0.25">
      <c r="B18" s="276" t="s">
        <v>214</v>
      </c>
      <c r="C18" s="277"/>
      <c r="D18" s="325"/>
      <c r="E18" s="325">
        <v>0</v>
      </c>
      <c r="F18" s="325">
        <v>0</v>
      </c>
      <c r="G18" s="325">
        <v>0</v>
      </c>
      <c r="H18" s="326">
        <v>0</v>
      </c>
    </row>
    <row r="19" spans="2:8" s="3" customFormat="1" ht="13.5" thickBot="1" x14ac:dyDescent="0.25">
      <c r="B19" s="332" t="s">
        <v>215</v>
      </c>
      <c r="C19" s="333"/>
      <c r="D19" s="334"/>
      <c r="E19" s="334">
        <f>SUM(E16:E18)</f>
        <v>379.75</v>
      </c>
      <c r="F19" s="334">
        <f t="shared" ref="F19" si="1">SUM(F16:F18)</f>
        <v>379.75</v>
      </c>
      <c r="G19" s="334">
        <f t="shared" ref="G19" si="2">SUM(G16:G18)</f>
        <v>379.75</v>
      </c>
      <c r="H19" s="335">
        <f t="shared" ref="H19" si="3">SUM(H16:H18)</f>
        <v>379.75</v>
      </c>
    </row>
    <row r="20" spans="2:8" s="3" customFormat="1" ht="13.5" thickBot="1" x14ac:dyDescent="0.25">
      <c r="B20" s="332" t="s">
        <v>216</v>
      </c>
      <c r="C20" s="333"/>
      <c r="D20" s="334"/>
      <c r="E20" s="334">
        <f>E14+E19</f>
        <v>542.5</v>
      </c>
      <c r="F20" s="334">
        <f>F14+F19</f>
        <v>542.5</v>
      </c>
      <c r="G20" s="334">
        <f>G14+G19</f>
        <v>542.5</v>
      </c>
      <c r="H20" s="335">
        <v>542.5</v>
      </c>
    </row>
    <row r="21" spans="2:8" s="3" customFormat="1" ht="13.5" thickBot="1" x14ac:dyDescent="0.25">
      <c r="B21" s="276"/>
      <c r="C21" s="277"/>
      <c r="D21" s="325"/>
      <c r="E21" s="325"/>
      <c r="F21" s="325"/>
      <c r="G21" s="325"/>
      <c r="H21" s="326"/>
    </row>
    <row r="22" spans="2:8" s="3" customFormat="1" ht="13.5" thickBot="1" x14ac:dyDescent="0.25">
      <c r="B22" s="327" t="s">
        <v>217</v>
      </c>
      <c r="C22" s="277"/>
      <c r="D22" s="325"/>
      <c r="E22" s="325"/>
      <c r="F22" s="325"/>
      <c r="G22" s="325"/>
      <c r="H22" s="326"/>
    </row>
    <row r="23" spans="2:8" s="3" customFormat="1" ht="13.5" thickBot="1" x14ac:dyDescent="0.25">
      <c r="B23" s="276" t="s">
        <v>218</v>
      </c>
      <c r="C23" s="277"/>
      <c r="D23" s="325"/>
      <c r="E23" s="325">
        <v>0</v>
      </c>
      <c r="F23" s="325">
        <v>0</v>
      </c>
      <c r="G23" s="325">
        <v>0</v>
      </c>
      <c r="H23" s="326">
        <v>0</v>
      </c>
    </row>
    <row r="24" spans="2:8" s="3" customFormat="1" ht="13.5" thickBot="1" x14ac:dyDescent="0.25">
      <c r="B24" s="276" t="s">
        <v>219</v>
      </c>
      <c r="C24" s="277"/>
      <c r="D24" s="325"/>
      <c r="E24" s="325">
        <v>27.125</v>
      </c>
      <c r="F24" s="325">
        <v>27.125</v>
      </c>
      <c r="G24" s="325">
        <v>27.125</v>
      </c>
      <c r="H24" s="326">
        <v>27.125</v>
      </c>
    </row>
    <row r="25" spans="2:8" s="3" customFormat="1" ht="13.5" thickBot="1" x14ac:dyDescent="0.25">
      <c r="B25" s="276" t="s">
        <v>220</v>
      </c>
      <c r="C25" s="277"/>
      <c r="D25" s="325"/>
      <c r="E25" s="325">
        <v>0</v>
      </c>
      <c r="F25" s="325">
        <v>0</v>
      </c>
      <c r="G25" s="325">
        <v>0</v>
      </c>
      <c r="H25" s="326">
        <v>0</v>
      </c>
    </row>
    <row r="26" spans="2:8" s="3" customFormat="1" ht="13.5" thickBot="1" x14ac:dyDescent="0.25">
      <c r="B26" s="332" t="s">
        <v>221</v>
      </c>
      <c r="C26" s="333"/>
      <c r="D26" s="334"/>
      <c r="E26" s="334">
        <f>SUM(E23:E25)</f>
        <v>27.125</v>
      </c>
      <c r="F26" s="334">
        <f t="shared" ref="F26" si="4">SUM(F23:F25)</f>
        <v>27.125</v>
      </c>
      <c r="G26" s="334">
        <f t="shared" ref="G26" si="5">SUM(G23:G25)</f>
        <v>27.125</v>
      </c>
      <c r="H26" s="335">
        <f t="shared" ref="H26" si="6">SUM(H23:H25)</f>
        <v>27.125</v>
      </c>
    </row>
    <row r="27" spans="2:8" s="3" customFormat="1" ht="13.5" thickBot="1" x14ac:dyDescent="0.25">
      <c r="B27" s="324" t="s">
        <v>222</v>
      </c>
      <c r="C27" s="277"/>
      <c r="D27" s="325"/>
      <c r="E27" s="325"/>
      <c r="F27" s="325"/>
      <c r="G27" s="325"/>
      <c r="H27" s="326"/>
    </row>
    <row r="28" spans="2:8" s="3" customFormat="1" ht="13.5" thickBot="1" x14ac:dyDescent="0.25">
      <c r="B28" s="276" t="s">
        <v>223</v>
      </c>
      <c r="C28" s="277"/>
      <c r="D28" s="325"/>
      <c r="E28" s="325">
        <v>108.5</v>
      </c>
      <c r="F28" s="325">
        <v>108.5</v>
      </c>
      <c r="G28" s="325">
        <v>108.5</v>
      </c>
      <c r="H28" s="326">
        <v>108.5</v>
      </c>
    </row>
    <row r="29" spans="2:8" s="3" customFormat="1" ht="13.5" thickBot="1" x14ac:dyDescent="0.25">
      <c r="B29" s="276" t="s">
        <v>224</v>
      </c>
      <c r="C29" s="277"/>
      <c r="D29" s="325"/>
      <c r="E29" s="325">
        <v>0</v>
      </c>
      <c r="F29" s="325">
        <v>0</v>
      </c>
      <c r="G29" s="325">
        <v>0</v>
      </c>
      <c r="H29" s="326">
        <v>0</v>
      </c>
    </row>
    <row r="30" spans="2:8" s="3" customFormat="1" ht="13.5" thickBot="1" x14ac:dyDescent="0.25">
      <c r="B30" s="332" t="s">
        <v>225</v>
      </c>
      <c r="C30" s="333"/>
      <c r="D30" s="334"/>
      <c r="E30" s="334">
        <f>SUM(E28:E29)</f>
        <v>108.5</v>
      </c>
      <c r="F30" s="334">
        <f t="shared" ref="F30:G30" si="7">SUM(F28:F29)</f>
        <v>108.5</v>
      </c>
      <c r="G30" s="334">
        <f t="shared" si="7"/>
        <v>108.5</v>
      </c>
      <c r="H30" s="335">
        <v>108.5</v>
      </c>
    </row>
    <row r="31" spans="2:8" s="3" customFormat="1" ht="13.5" thickBot="1" x14ac:dyDescent="0.25">
      <c r="B31" s="332" t="s">
        <v>226</v>
      </c>
      <c r="C31" s="333"/>
      <c r="D31" s="334"/>
      <c r="E31" s="334">
        <f>E30+E26</f>
        <v>135.625</v>
      </c>
      <c r="F31" s="334">
        <f t="shared" ref="F31:H31" si="8">F30+F26</f>
        <v>135.625</v>
      </c>
      <c r="G31" s="334">
        <f t="shared" si="8"/>
        <v>135.625</v>
      </c>
      <c r="H31" s="335">
        <f t="shared" si="8"/>
        <v>135.625</v>
      </c>
    </row>
    <row r="32" spans="2:8" s="3" customFormat="1" ht="13.5" thickBot="1" x14ac:dyDescent="0.25">
      <c r="B32" s="276" t="s">
        <v>227</v>
      </c>
      <c r="C32" s="277"/>
      <c r="D32" s="325"/>
      <c r="E32" s="325">
        <v>406.875</v>
      </c>
      <c r="F32" s="325">
        <v>406.875</v>
      </c>
      <c r="G32" s="325">
        <v>406.875</v>
      </c>
      <c r="H32" s="326">
        <v>406.875</v>
      </c>
    </row>
    <row r="33" spans="2:8" s="3" customFormat="1" ht="13.5" thickBot="1" x14ac:dyDescent="0.25">
      <c r="B33" s="332" t="s">
        <v>228</v>
      </c>
      <c r="C33" s="333"/>
      <c r="D33" s="334"/>
      <c r="E33" s="334">
        <f>SUM(E31:E32)</f>
        <v>542.5</v>
      </c>
      <c r="F33" s="334">
        <f t="shared" ref="F33:H33" si="9">SUM(F31:F32)</f>
        <v>542.5</v>
      </c>
      <c r="G33" s="334">
        <f t="shared" si="9"/>
        <v>542.5</v>
      </c>
      <c r="H33" s="335">
        <f t="shared" si="9"/>
        <v>542.5</v>
      </c>
    </row>
    <row r="34" spans="2:8" s="3" customFormat="1" ht="12.75" x14ac:dyDescent="0.2"/>
    <row r="35" spans="2:8" s="3" customFormat="1" ht="13.5" thickBot="1" x14ac:dyDescent="0.25"/>
    <row r="36" spans="2:8" s="3" customFormat="1" ht="13.5" thickBot="1" x14ac:dyDescent="0.25">
      <c r="B36" s="276" t="s">
        <v>229</v>
      </c>
      <c r="C36" s="277"/>
      <c r="D36" s="278"/>
      <c r="E36" s="328">
        <f>E14-E26</f>
        <v>135.625</v>
      </c>
      <c r="F36" s="328">
        <f t="shared" ref="F36:H36" si="10">F14-F26</f>
        <v>135.625</v>
      </c>
      <c r="G36" s="328">
        <f t="shared" si="10"/>
        <v>135.625</v>
      </c>
      <c r="H36" s="329">
        <f t="shared" si="10"/>
        <v>135.625</v>
      </c>
    </row>
    <row r="37" spans="2:8" s="3" customFormat="1" ht="13.5" thickBot="1" x14ac:dyDescent="0.25">
      <c r="B37" s="276" t="s">
        <v>230</v>
      </c>
      <c r="C37" s="277"/>
      <c r="D37" s="278"/>
      <c r="E37" s="328">
        <f>E36-E11+E23</f>
        <v>27.125</v>
      </c>
      <c r="F37" s="328">
        <f t="shared" ref="F37:H37" si="11">F36-F11+F23</f>
        <v>27.125</v>
      </c>
      <c r="G37" s="328">
        <f t="shared" si="11"/>
        <v>27.125</v>
      </c>
      <c r="H37" s="329">
        <f t="shared" si="11"/>
        <v>27.125</v>
      </c>
    </row>
    <row r="38" spans="2:8" s="3" customFormat="1" ht="12.75" x14ac:dyDescent="0.2"/>
    <row r="39" spans="2:8" s="3" customFormat="1" ht="12.75" x14ac:dyDescent="0.2"/>
    <row r="40" spans="2:8" s="3" customFormat="1" ht="12.75" x14ac:dyDescent="0.2"/>
    <row r="41" spans="2:8" s="3" customFormat="1" ht="12.75" x14ac:dyDescent="0.2"/>
    <row r="42" spans="2:8" s="3" customFormat="1" ht="12.75" x14ac:dyDescent="0.2"/>
    <row r="43" spans="2:8" s="3" customFormat="1" ht="12.75" x14ac:dyDescent="0.2"/>
    <row r="44" spans="2:8" s="3" customFormat="1" ht="12.75" x14ac:dyDescent="0.2"/>
    <row r="45" spans="2:8" s="3" customFormat="1" ht="12.75" x14ac:dyDescent="0.2"/>
    <row r="46" spans="2:8" s="3" customFormat="1" ht="12.75" x14ac:dyDescent="0.2"/>
    <row r="47" spans="2:8" s="3" customFormat="1" ht="12.75" x14ac:dyDescent="0.2"/>
    <row r="48" spans="2:8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</sheetData>
  <mergeCells count="1">
    <mergeCell ref="D7:G7"/>
  </mergeCells>
  <pageMargins left="0.5" right="0.5" top="0.5" bottom="0.5" header="0.5" footer="0.5"/>
  <pageSetup orientation="landscape" r:id="rId1"/>
  <headerFooter>
    <oddFooter>&amp;L&amp;G&amp;R&amp;"Arial,Regular"&amp;10&amp;K616161acuitykp.com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showGridLines="0" view="pageBreakPreview" topLeftCell="A7" zoomScaleNormal="100" zoomScaleSheetLayoutView="100" workbookViewId="0">
      <selection activeCell="N32" sqref="N32"/>
    </sheetView>
  </sheetViews>
  <sheetFormatPr defaultRowHeight="15" x14ac:dyDescent="0.25"/>
  <cols>
    <col min="1" max="1" width="3.5703125" customWidth="1"/>
    <col min="2" max="2" width="24.7109375" customWidth="1"/>
    <col min="3" max="10" width="11.7109375" customWidth="1"/>
    <col min="11" max="11" width="3.5703125" customWidth="1"/>
  </cols>
  <sheetData>
    <row r="1" spans="1:22" ht="15.75" x14ac:dyDescent="0.25">
      <c r="A1" s="2"/>
      <c r="B1" s="22" t="str">
        <f>Acq_name</f>
        <v>Acquisition Holdings Ltd.</v>
      </c>
      <c r="K1" s="83" t="str">
        <f>"Exhibit: "&amp;INDEX(TOC!$B$5:$E$24,MATCH($B$3,TOC!$E$5:$E$24,0),COLUMNS(TOC!D5))</f>
        <v>Exhibit: D</v>
      </c>
    </row>
    <row r="2" spans="1:22" x14ac:dyDescent="0.25">
      <c r="A2" s="2"/>
      <c r="B2" s="23" t="str">
        <f>Targ_name</f>
        <v>WearOS Tech. Pvt. Ltd.</v>
      </c>
    </row>
    <row r="3" spans="1:22" x14ac:dyDescent="0.25">
      <c r="A3" s="2"/>
      <c r="B3" s="24" t="str">
        <f>TOC!E11</f>
        <v>Projected Financial Information</v>
      </c>
    </row>
    <row r="4" spans="1:22" x14ac:dyDescent="0.25">
      <c r="B4" s="29" t="str">
        <f>"Valuation as of "&amp;TEXT(Val_date,"DD MMMM YYYY")</f>
        <v>Valuation as of 31 March 2020</v>
      </c>
    </row>
    <row r="5" spans="1:22" x14ac:dyDescent="0.25">
      <c r="B5" s="31" t="str">
        <f>'Key Inputs and Assumptions'!C24</f>
        <v>(in USD ‘000s unless specified otherwise)</v>
      </c>
    </row>
    <row r="6" spans="1:22" x14ac:dyDescent="0.25">
      <c r="O6" s="1"/>
      <c r="Q6" s="1"/>
    </row>
    <row r="7" spans="1:22" x14ac:dyDescent="0.25">
      <c r="B7" s="33" t="s">
        <v>47</v>
      </c>
      <c r="C7" s="34"/>
      <c r="D7" s="98" t="s">
        <v>105</v>
      </c>
      <c r="E7" s="98" t="s">
        <v>34</v>
      </c>
      <c r="F7" s="98"/>
      <c r="G7" s="98"/>
      <c r="H7" s="98"/>
      <c r="I7" s="98"/>
      <c r="J7" s="84"/>
      <c r="O7" s="1"/>
    </row>
    <row r="8" spans="1:22" x14ac:dyDescent="0.25">
      <c r="B8" s="299"/>
      <c r="C8" s="299"/>
      <c r="D8" s="299">
        <f>'Key Inputs and Assumptions'!$C$16</f>
        <v>44196</v>
      </c>
      <c r="E8" s="299">
        <f>D8+365</f>
        <v>44561</v>
      </c>
      <c r="F8" s="299">
        <f t="shared" ref="F8:J8" si="0">E8+365</f>
        <v>44926</v>
      </c>
      <c r="G8" s="299">
        <f t="shared" si="0"/>
        <v>45291</v>
      </c>
      <c r="H8" s="299">
        <f t="shared" si="0"/>
        <v>45656</v>
      </c>
      <c r="I8" s="299">
        <f t="shared" si="0"/>
        <v>46021</v>
      </c>
      <c r="J8" s="299">
        <f t="shared" si="0"/>
        <v>46386</v>
      </c>
    </row>
    <row r="9" spans="1:22" s="3" customFormat="1" ht="13.5" thickBot="1" x14ac:dyDescent="0.25">
      <c r="B9" s="300"/>
      <c r="C9" s="301"/>
      <c r="D9" s="302"/>
      <c r="E9" s="302"/>
      <c r="F9" s="302"/>
      <c r="G9" s="302"/>
      <c r="H9" s="302"/>
      <c r="I9" s="302"/>
      <c r="J9" s="303"/>
    </row>
    <row r="10" spans="1:22" s="3" customFormat="1" ht="13.5" thickBot="1" x14ac:dyDescent="0.25">
      <c r="B10" s="122" t="s">
        <v>67</v>
      </c>
      <c r="C10" s="123"/>
      <c r="D10" s="151">
        <v>4069</v>
      </c>
      <c r="E10" s="151">
        <v>6239</v>
      </c>
      <c r="F10" s="151">
        <v>7175</v>
      </c>
      <c r="G10" s="151">
        <v>7892</v>
      </c>
      <c r="H10" s="151">
        <v>8681</v>
      </c>
      <c r="I10" s="151">
        <v>9115</v>
      </c>
      <c r="J10" s="304">
        <v>9571</v>
      </c>
    </row>
    <row r="11" spans="1:22" s="3" customFormat="1" ht="13.5" thickBot="1" x14ac:dyDescent="0.25">
      <c r="B11" s="122" t="s">
        <v>128</v>
      </c>
      <c r="C11" s="123"/>
      <c r="D11" s="151">
        <v>-849</v>
      </c>
      <c r="E11" s="151">
        <v>-1308</v>
      </c>
      <c r="F11" s="151">
        <v>-1440</v>
      </c>
      <c r="G11" s="151">
        <v>-1588</v>
      </c>
      <c r="H11" s="151">
        <v>-1955</v>
      </c>
      <c r="I11" s="151">
        <v>-2052</v>
      </c>
      <c r="J11" s="304">
        <v>-2199</v>
      </c>
      <c r="N11" s="100"/>
      <c r="O11" s="100"/>
      <c r="P11" s="100"/>
      <c r="Q11" s="100"/>
      <c r="R11" s="100"/>
      <c r="S11" s="100"/>
      <c r="T11" s="100"/>
    </row>
    <row r="12" spans="1:22" s="3" customFormat="1" ht="13.5" thickBot="1" x14ac:dyDescent="0.25">
      <c r="B12" s="122" t="s">
        <v>68</v>
      </c>
      <c r="C12" s="123"/>
      <c r="D12" s="111">
        <f>SUM(D10:D11)</f>
        <v>3220</v>
      </c>
      <c r="E12" s="111">
        <f t="shared" ref="E12:J12" si="1">SUM(E10:E11)</f>
        <v>4931</v>
      </c>
      <c r="F12" s="111">
        <f t="shared" si="1"/>
        <v>5735</v>
      </c>
      <c r="G12" s="111">
        <f t="shared" si="1"/>
        <v>6304</v>
      </c>
      <c r="H12" s="111">
        <f>SUM(H10:H11)</f>
        <v>6726</v>
      </c>
      <c r="I12" s="111">
        <f t="shared" ref="I12" si="2">SUM(I10:I11)</f>
        <v>7063</v>
      </c>
      <c r="J12" s="109">
        <f t="shared" si="1"/>
        <v>7372</v>
      </c>
    </row>
    <row r="13" spans="1:22" s="3" customFormat="1" ht="2.1" customHeight="1" thickBot="1" x14ac:dyDescent="0.25">
      <c r="B13" s="122"/>
      <c r="C13" s="123"/>
      <c r="D13" s="111"/>
      <c r="E13" s="111"/>
      <c r="F13" s="111"/>
      <c r="G13" s="111"/>
      <c r="H13" s="111"/>
      <c r="I13" s="111"/>
      <c r="J13" s="109"/>
      <c r="O13" s="100"/>
    </row>
    <row r="14" spans="1:22" s="3" customFormat="1" ht="13.5" thickBot="1" x14ac:dyDescent="0.25">
      <c r="B14" s="122" t="s">
        <v>69</v>
      </c>
      <c r="C14" s="123"/>
      <c r="D14" s="151">
        <v>-2308</v>
      </c>
      <c r="E14" s="151">
        <v>-3513</v>
      </c>
      <c r="F14" s="151">
        <v>-4047</v>
      </c>
      <c r="G14" s="151">
        <v>-4660</v>
      </c>
      <c r="H14" s="151">
        <v>-5320</v>
      </c>
      <c r="I14" s="151">
        <v>-5603</v>
      </c>
      <c r="J14" s="304">
        <v>-5871</v>
      </c>
      <c r="N14" s="100"/>
      <c r="O14" s="100"/>
      <c r="Q14" s="100"/>
      <c r="R14" s="100"/>
      <c r="S14" s="100"/>
      <c r="T14" s="100"/>
      <c r="U14" s="100"/>
      <c r="V14" s="100"/>
    </row>
    <row r="15" spans="1:22" s="3" customFormat="1" ht="13.5" thickBot="1" x14ac:dyDescent="0.25">
      <c r="B15" s="122" t="s">
        <v>70</v>
      </c>
      <c r="C15" s="123"/>
      <c r="D15" s="111">
        <f>SUM(D12:D14)</f>
        <v>912</v>
      </c>
      <c r="E15" s="111">
        <f t="shared" ref="E15" si="3">SUM(E12:E14)</f>
        <v>1418</v>
      </c>
      <c r="F15" s="111">
        <f>SUM(F12:F14)</f>
        <v>1688</v>
      </c>
      <c r="G15" s="111">
        <f>SUM(G12:G14)</f>
        <v>1644</v>
      </c>
      <c r="H15" s="111">
        <f t="shared" ref="H15:I15" si="4">SUM(H12:H14)</f>
        <v>1406</v>
      </c>
      <c r="I15" s="111">
        <f t="shared" si="4"/>
        <v>1460</v>
      </c>
      <c r="J15" s="109">
        <f>SUM(J12:J14)</f>
        <v>1501</v>
      </c>
      <c r="N15" s="100"/>
      <c r="O15" s="100"/>
      <c r="P15" s="100"/>
      <c r="Q15" s="100"/>
      <c r="R15" s="100"/>
      <c r="S15" s="100"/>
      <c r="T15" s="100"/>
    </row>
    <row r="16" spans="1:22" s="3" customFormat="1" ht="2.1" customHeight="1" thickBot="1" x14ac:dyDescent="0.25">
      <c r="B16" s="122"/>
      <c r="C16" s="123"/>
      <c r="D16" s="111"/>
      <c r="E16" s="111"/>
      <c r="F16" s="111"/>
      <c r="G16" s="111"/>
      <c r="H16" s="111"/>
      <c r="I16" s="111"/>
      <c r="J16" s="109"/>
    </row>
    <row r="17" spans="2:20" s="3" customFormat="1" ht="13.5" thickBot="1" x14ac:dyDescent="0.25">
      <c r="B17" s="122" t="s">
        <v>71</v>
      </c>
      <c r="C17" s="123"/>
      <c r="D17" s="151">
        <v>-145.1</v>
      </c>
      <c r="E17" s="151">
        <v>-217.8</v>
      </c>
      <c r="F17" s="151">
        <v>-253.5</v>
      </c>
      <c r="G17" s="151">
        <v>-275</v>
      </c>
      <c r="H17" s="151">
        <v>-330</v>
      </c>
      <c r="I17" s="151">
        <v>-345</v>
      </c>
      <c r="J17" s="304">
        <v>-366</v>
      </c>
    </row>
    <row r="18" spans="2:20" s="3" customFormat="1" ht="13.5" thickBot="1" x14ac:dyDescent="0.25">
      <c r="B18" s="122" t="s">
        <v>72</v>
      </c>
      <c r="C18" s="123"/>
      <c r="D18" s="151">
        <v>0</v>
      </c>
      <c r="E18" s="151">
        <v>0</v>
      </c>
      <c r="F18" s="151">
        <v>0</v>
      </c>
      <c r="G18" s="151">
        <v>0</v>
      </c>
      <c r="H18" s="151">
        <v>0</v>
      </c>
      <c r="I18" s="151">
        <v>0</v>
      </c>
      <c r="J18" s="304">
        <v>0</v>
      </c>
      <c r="N18" s="100"/>
      <c r="O18" s="100"/>
      <c r="P18" s="100"/>
      <c r="Q18" s="100"/>
      <c r="R18" s="100"/>
      <c r="S18" s="100"/>
      <c r="T18" s="100"/>
    </row>
    <row r="19" spans="2:20" s="3" customFormat="1" ht="13.5" thickBot="1" x14ac:dyDescent="0.25">
      <c r="B19" s="122" t="s">
        <v>73</v>
      </c>
      <c r="C19" s="123"/>
      <c r="D19" s="111">
        <f>SUM(D15:D18)</f>
        <v>766.9</v>
      </c>
      <c r="E19" s="111">
        <f t="shared" ref="E19:J19" si="5">SUM(E15:E18)</f>
        <v>1200.2</v>
      </c>
      <c r="F19" s="111">
        <f t="shared" si="5"/>
        <v>1434.5</v>
      </c>
      <c r="G19" s="111">
        <f t="shared" si="5"/>
        <v>1369</v>
      </c>
      <c r="H19" s="111">
        <f t="shared" ref="H19" si="6">SUM(H15:H18)</f>
        <v>1076</v>
      </c>
      <c r="I19" s="111">
        <f t="shared" ref="I19" si="7">SUM(I15:I18)</f>
        <v>1115</v>
      </c>
      <c r="J19" s="109">
        <f t="shared" si="5"/>
        <v>1135</v>
      </c>
    </row>
    <row r="20" spans="2:20" s="3" customFormat="1" ht="2.1" customHeight="1" thickBot="1" x14ac:dyDescent="0.25">
      <c r="B20" s="122"/>
      <c r="C20" s="123"/>
      <c r="D20" s="111"/>
      <c r="E20" s="111"/>
      <c r="F20" s="111"/>
      <c r="G20" s="111"/>
      <c r="H20" s="111"/>
      <c r="I20" s="111"/>
      <c r="J20" s="109"/>
    </row>
    <row r="21" spans="2:20" s="3" customFormat="1" ht="13.5" thickBot="1" x14ac:dyDescent="0.25">
      <c r="B21" s="122" t="s">
        <v>74</v>
      </c>
      <c r="C21" s="136">
        <f>tax_rate</f>
        <v>0.26140000000000002</v>
      </c>
      <c r="D21" s="111">
        <f>-$C$21*MAX(D19,0)</f>
        <v>-200.46766000000002</v>
      </c>
      <c r="E21" s="111">
        <f t="shared" ref="E21:G21" si="8">-$C$21*MAX(E19,0)</f>
        <v>-313.73228000000006</v>
      </c>
      <c r="F21" s="111">
        <f t="shared" si="8"/>
        <v>-374.97830000000005</v>
      </c>
      <c r="G21" s="111">
        <f t="shared" si="8"/>
        <v>-357.85660000000001</v>
      </c>
      <c r="H21" s="111">
        <f t="shared" ref="H21:I21" si="9">-$C$21*MAX(H19,0)</f>
        <v>-281.26640000000003</v>
      </c>
      <c r="I21" s="111">
        <f t="shared" si="9"/>
        <v>-291.46100000000001</v>
      </c>
      <c r="J21" s="109">
        <f t="shared" ref="J21" si="10">-$C$21*MAX(J19,0)</f>
        <v>-296.68900000000002</v>
      </c>
    </row>
    <row r="22" spans="2:20" s="3" customFormat="1" ht="13.5" thickBot="1" x14ac:dyDescent="0.25">
      <c r="B22" s="122" t="s">
        <v>75</v>
      </c>
      <c r="C22" s="123"/>
      <c r="D22" s="111">
        <f>SUM(D19:D21)</f>
        <v>566.43233999999995</v>
      </c>
      <c r="E22" s="111">
        <f t="shared" ref="E22:J22" si="11">SUM(E19:E21)</f>
        <v>886.46771999999999</v>
      </c>
      <c r="F22" s="111">
        <f t="shared" si="11"/>
        <v>1059.5217</v>
      </c>
      <c r="G22" s="111">
        <f t="shared" si="11"/>
        <v>1011.1433999999999</v>
      </c>
      <c r="H22" s="111">
        <f t="shared" ref="H22" si="12">SUM(H19:H21)</f>
        <v>794.73360000000002</v>
      </c>
      <c r="I22" s="111">
        <f t="shared" ref="I22" si="13">SUM(I19:I21)</f>
        <v>823.53899999999999</v>
      </c>
      <c r="J22" s="109">
        <f t="shared" si="11"/>
        <v>838.31099999999992</v>
      </c>
    </row>
    <row r="23" spans="2:20" s="3" customFormat="1" ht="2.1" customHeight="1" thickBot="1" x14ac:dyDescent="0.25">
      <c r="B23" s="122"/>
      <c r="C23" s="123"/>
      <c r="D23" s="111"/>
      <c r="E23" s="111"/>
      <c r="F23" s="111"/>
      <c r="G23" s="111"/>
      <c r="H23" s="111"/>
      <c r="I23" s="111"/>
      <c r="J23" s="109"/>
    </row>
    <row r="24" spans="2:20" s="3" customFormat="1" ht="13.5" thickBot="1" x14ac:dyDescent="0.25">
      <c r="B24" s="122" t="s">
        <v>106</v>
      </c>
      <c r="C24" s="137">
        <v>0.04</v>
      </c>
      <c r="D24" s="111">
        <f>$C$24*D10</f>
        <v>162.76</v>
      </c>
      <c r="E24" s="111">
        <f t="shared" ref="E24:J24" si="14">$C$24*E10</f>
        <v>249.56</v>
      </c>
      <c r="F24" s="111">
        <f t="shared" si="14"/>
        <v>287</v>
      </c>
      <c r="G24" s="111">
        <f t="shared" si="14"/>
        <v>315.68</v>
      </c>
      <c r="H24" s="111">
        <f t="shared" si="14"/>
        <v>347.24</v>
      </c>
      <c r="I24" s="111">
        <f t="shared" si="14"/>
        <v>364.6</v>
      </c>
      <c r="J24" s="109">
        <f t="shared" si="14"/>
        <v>382.84000000000003</v>
      </c>
    </row>
    <row r="25" spans="2:20" s="3" customFormat="1" ht="13.5" thickBot="1" x14ac:dyDescent="0.25">
      <c r="B25" s="122" t="s">
        <v>107</v>
      </c>
      <c r="C25" s="137">
        <v>0.08</v>
      </c>
      <c r="D25" s="111">
        <f>$C$25*D10</f>
        <v>325.52</v>
      </c>
      <c r="E25" s="111">
        <f>$C$25*E10</f>
        <v>499.12</v>
      </c>
      <c r="F25" s="111">
        <f t="shared" ref="F25:J25" si="15">$C$25*F10</f>
        <v>574</v>
      </c>
      <c r="G25" s="111">
        <f t="shared" si="15"/>
        <v>631.36</v>
      </c>
      <c r="H25" s="111">
        <f t="shared" si="15"/>
        <v>694.48</v>
      </c>
      <c r="I25" s="111">
        <f t="shared" si="15"/>
        <v>729.2</v>
      </c>
      <c r="J25" s="109">
        <f t="shared" si="15"/>
        <v>765.68000000000006</v>
      </c>
    </row>
    <row r="26" spans="2:20" s="3" customFormat="1" ht="12.75" x14ac:dyDescent="0.2">
      <c r="B26" s="305" t="s">
        <v>108</v>
      </c>
      <c r="C26" s="306"/>
      <c r="D26" s="307">
        <f>(D25/stub)-P26</f>
        <v>-108.97333333333336</v>
      </c>
      <c r="E26" s="307">
        <f>E25-(D25/stub)</f>
        <v>65.093333333333362</v>
      </c>
      <c r="F26" s="307">
        <f>F25-E25</f>
        <v>74.88</v>
      </c>
      <c r="G26" s="307">
        <f t="shared" ref="G26:J26" si="16">G25-F25</f>
        <v>57.360000000000014</v>
      </c>
      <c r="H26" s="307">
        <f t="shared" si="16"/>
        <v>63.120000000000005</v>
      </c>
      <c r="I26" s="307">
        <f t="shared" si="16"/>
        <v>34.720000000000027</v>
      </c>
      <c r="J26" s="308">
        <f t="shared" si="16"/>
        <v>36.480000000000018</v>
      </c>
      <c r="L26" s="3" t="s">
        <v>145</v>
      </c>
      <c r="P26" s="3">
        <v>543</v>
      </c>
    </row>
    <row r="27" spans="2:20" s="3" customFormat="1" ht="12.75" x14ac:dyDescent="0.2"/>
    <row r="28" spans="2:20" s="3" customFormat="1" ht="12.75" x14ac:dyDescent="0.2"/>
    <row r="29" spans="2:20" s="3" customFormat="1" ht="12.75" x14ac:dyDescent="0.2">
      <c r="B29" s="85" t="s">
        <v>76</v>
      </c>
      <c r="C29" s="86"/>
      <c r="D29" s="86"/>
      <c r="E29" s="86"/>
      <c r="F29" s="86"/>
      <c r="G29" s="86"/>
      <c r="H29" s="86"/>
      <c r="I29" s="86"/>
      <c r="J29" s="93"/>
    </row>
    <row r="30" spans="2:20" s="3" customFormat="1" ht="12.75" x14ac:dyDescent="0.2">
      <c r="B30" s="88" t="s">
        <v>77</v>
      </c>
      <c r="C30" s="87"/>
      <c r="D30" s="96" t="s">
        <v>83</v>
      </c>
      <c r="E30" s="95">
        <f>E10/(D10/stub)-1</f>
        <v>0.14997542393708541</v>
      </c>
      <c r="F30" s="95">
        <f>F10/E10-1</f>
        <v>0.15002404231447342</v>
      </c>
      <c r="G30" s="95">
        <f>G10/F10-1</f>
        <v>9.9930313588850073E-2</v>
      </c>
      <c r="H30" s="95">
        <f t="shared" ref="H30:I30" si="17">H10/G10-1</f>
        <v>9.9974657881398921E-2</v>
      </c>
      <c r="I30" s="95">
        <f t="shared" si="17"/>
        <v>4.9994240294896963E-2</v>
      </c>
      <c r="J30" s="99">
        <f t="shared" ref="J30" si="18">J10/I10-1</f>
        <v>5.0027427317608231E-2</v>
      </c>
    </row>
    <row r="31" spans="2:20" s="3" customFormat="1" ht="12.75" x14ac:dyDescent="0.2">
      <c r="B31" s="88" t="s">
        <v>150</v>
      </c>
      <c r="C31" s="87"/>
      <c r="D31" s="95">
        <f>D11/D$10</f>
        <v>-0.20865077414598182</v>
      </c>
      <c r="E31" s="95">
        <f t="shared" ref="E31:J31" si="19">E11/E$10</f>
        <v>-0.2096489822086873</v>
      </c>
      <c r="F31" s="95">
        <f t="shared" si="19"/>
        <v>-0.20069686411149826</v>
      </c>
      <c r="G31" s="95">
        <f t="shared" si="19"/>
        <v>-0.20121642169285353</v>
      </c>
      <c r="H31" s="95">
        <f t="shared" si="19"/>
        <v>-0.22520446953116</v>
      </c>
      <c r="I31" s="95">
        <f t="shared" si="19"/>
        <v>-0.22512342292923751</v>
      </c>
      <c r="J31" s="95">
        <f t="shared" si="19"/>
        <v>-0.2297565562637133</v>
      </c>
    </row>
    <row r="32" spans="2:20" s="3" customFormat="1" ht="12.75" x14ac:dyDescent="0.2">
      <c r="B32" s="88" t="s">
        <v>78</v>
      </c>
      <c r="C32" s="87"/>
      <c r="D32" s="95">
        <f>D12/D$10</f>
        <v>0.79134922585401823</v>
      </c>
      <c r="E32" s="95">
        <f>E12/E$10</f>
        <v>0.79035101779131267</v>
      </c>
      <c r="F32" s="95">
        <f>F12/F$10</f>
        <v>0.79930313588850177</v>
      </c>
      <c r="G32" s="95">
        <f>G12/G$10</f>
        <v>0.79878357830714652</v>
      </c>
      <c r="H32" s="95">
        <f t="shared" ref="H32:I32" si="20">H12/H$10</f>
        <v>0.77479553046883998</v>
      </c>
      <c r="I32" s="95">
        <f t="shared" si="20"/>
        <v>0.77487657707076252</v>
      </c>
      <c r="J32" s="99">
        <f t="shared" ref="J32" si="21">J12/J$10</f>
        <v>0.77024344373628673</v>
      </c>
    </row>
    <row r="33" spans="2:10" s="3" customFormat="1" ht="12.75" x14ac:dyDescent="0.2">
      <c r="B33" s="88" t="s">
        <v>151</v>
      </c>
      <c r="C33" s="87"/>
      <c r="D33" s="95">
        <f t="shared" ref="D33:G34" si="22">D14/D$10</f>
        <v>-0.56721553207176212</v>
      </c>
      <c r="E33" s="95">
        <f t="shared" si="22"/>
        <v>-0.56307100496874496</v>
      </c>
      <c r="F33" s="95">
        <f t="shared" si="22"/>
        <v>-0.56404181184668989</v>
      </c>
      <c r="G33" s="95">
        <f t="shared" si="22"/>
        <v>-0.59047136340598072</v>
      </c>
      <c r="H33" s="95">
        <f t="shared" ref="H33:I34" si="23">H14/H$10</f>
        <v>-0.61283262296970398</v>
      </c>
      <c r="I33" s="95">
        <f t="shared" si="23"/>
        <v>-0.6147010422380691</v>
      </c>
      <c r="J33" s="99">
        <f t="shared" ref="J33:J34" si="24">J14/J$10</f>
        <v>-0.61341552606833138</v>
      </c>
    </row>
    <row r="34" spans="2:10" s="3" customFormat="1" ht="12.75" x14ac:dyDescent="0.2">
      <c r="B34" s="88" t="s">
        <v>79</v>
      </c>
      <c r="C34" s="87"/>
      <c r="D34" s="95">
        <f t="shared" si="22"/>
        <v>0.22413369378225609</v>
      </c>
      <c r="E34" s="95">
        <f t="shared" si="22"/>
        <v>0.22728001282256771</v>
      </c>
      <c r="F34" s="95">
        <f t="shared" si="22"/>
        <v>0.23526132404181185</v>
      </c>
      <c r="G34" s="95">
        <f t="shared" si="22"/>
        <v>0.20831221490116575</v>
      </c>
      <c r="H34" s="95">
        <f t="shared" si="23"/>
        <v>0.16196290749913606</v>
      </c>
      <c r="I34" s="95">
        <f t="shared" si="23"/>
        <v>0.16017553483269337</v>
      </c>
      <c r="J34" s="99">
        <f t="shared" si="24"/>
        <v>0.15682791766795529</v>
      </c>
    </row>
    <row r="35" spans="2:10" s="3" customFormat="1" ht="12.75" x14ac:dyDescent="0.2">
      <c r="B35" s="88" t="s">
        <v>80</v>
      </c>
      <c r="C35" s="87"/>
      <c r="D35" s="95">
        <f>D19/D$10</f>
        <v>0.18847382649299582</v>
      </c>
      <c r="E35" s="95">
        <f>E19/E$10</f>
        <v>0.19237057220708448</v>
      </c>
      <c r="F35" s="95">
        <f>F19/F$10</f>
        <v>0.19993031358885016</v>
      </c>
      <c r="G35" s="95">
        <f>G19/G$10</f>
        <v>0.17346680182463253</v>
      </c>
      <c r="H35" s="95">
        <f t="shared" ref="H35:I35" si="25">H19/H$10</f>
        <v>0.12394885381868448</v>
      </c>
      <c r="I35" s="95">
        <f t="shared" si="25"/>
        <v>0.12232583653318706</v>
      </c>
      <c r="J35" s="99">
        <f t="shared" ref="J35" si="26">J19/J$10</f>
        <v>0.11858739943579563</v>
      </c>
    </row>
    <row r="36" spans="2:10" s="3" customFormat="1" ht="12.75" x14ac:dyDescent="0.2">
      <c r="B36" s="88" t="s">
        <v>81</v>
      </c>
      <c r="C36" s="87"/>
      <c r="D36" s="95">
        <f t="shared" ref="D36:G37" si="27">D17/D$10</f>
        <v>-3.5659867289260259E-2</v>
      </c>
      <c r="E36" s="95">
        <f t="shared" si="27"/>
        <v>-3.4909440615483255E-2</v>
      </c>
      <c r="F36" s="95">
        <f t="shared" si="27"/>
        <v>-3.5331010452961671E-2</v>
      </c>
      <c r="G36" s="95">
        <f t="shared" si="27"/>
        <v>-3.4845413076533195E-2</v>
      </c>
      <c r="H36" s="95">
        <f t="shared" ref="H36:I36" si="28">H17/H$10</f>
        <v>-3.8014053680451562E-2</v>
      </c>
      <c r="I36" s="95">
        <f t="shared" si="28"/>
        <v>-3.784969829950631E-2</v>
      </c>
      <c r="J36" s="99">
        <f t="shared" ref="J36" si="29">J17/J$10</f>
        <v>-3.8240518232159647E-2</v>
      </c>
    </row>
    <row r="37" spans="2:10" s="3" customFormat="1" ht="12.75" x14ac:dyDescent="0.2">
      <c r="B37" s="88" t="s">
        <v>82</v>
      </c>
      <c r="C37" s="87"/>
      <c r="D37" s="95">
        <f t="shared" si="27"/>
        <v>0</v>
      </c>
      <c r="E37" s="95">
        <f t="shared" si="27"/>
        <v>0</v>
      </c>
      <c r="F37" s="95">
        <f t="shared" si="27"/>
        <v>0</v>
      </c>
      <c r="G37" s="95">
        <f t="shared" si="27"/>
        <v>0</v>
      </c>
      <c r="H37" s="95">
        <f t="shared" ref="H37:I37" si="30">H18/H$10</f>
        <v>0</v>
      </c>
      <c r="I37" s="95">
        <f t="shared" si="30"/>
        <v>0</v>
      </c>
      <c r="J37" s="99">
        <f t="shared" ref="J37" si="31">J18/J$10</f>
        <v>0</v>
      </c>
    </row>
    <row r="38" spans="2:10" s="3" customFormat="1" ht="12.75" x14ac:dyDescent="0.2"/>
    <row r="39" spans="2:10" s="3" customFormat="1" ht="12.75" x14ac:dyDescent="0.2"/>
    <row r="40" spans="2:10" s="3" customFormat="1" ht="12.75" x14ac:dyDescent="0.2"/>
    <row r="41" spans="2:10" s="3" customFormat="1" ht="12.75" x14ac:dyDescent="0.2"/>
    <row r="42" spans="2:10" s="3" customFormat="1" ht="12.75" x14ac:dyDescent="0.2"/>
    <row r="43" spans="2:10" s="3" customFormat="1" ht="12.75" x14ac:dyDescent="0.2"/>
    <row r="44" spans="2:10" s="3" customFormat="1" ht="12.75" x14ac:dyDescent="0.2"/>
    <row r="45" spans="2:10" s="3" customFormat="1" ht="12.75" x14ac:dyDescent="0.2"/>
    <row r="46" spans="2:10" s="3" customFormat="1" ht="12.75" x14ac:dyDescent="0.2"/>
    <row r="47" spans="2:10" s="3" customFormat="1" ht="12.75" x14ac:dyDescent="0.2"/>
    <row r="48" spans="2:10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  <row r="52" s="3" customFormat="1" ht="12.75" x14ac:dyDescent="0.2"/>
    <row r="53" s="3" customFormat="1" ht="12.75" x14ac:dyDescent="0.2"/>
    <row r="54" s="3" customFormat="1" ht="12.75" x14ac:dyDescent="0.2"/>
    <row r="55" s="3" customFormat="1" ht="12.75" x14ac:dyDescent="0.2"/>
    <row r="56" s="3" customFormat="1" ht="12.75" x14ac:dyDescent="0.2"/>
    <row r="57" s="3" customFormat="1" ht="12.75" x14ac:dyDescent="0.2"/>
    <row r="58" s="3" customFormat="1" ht="12.75" x14ac:dyDescent="0.2"/>
    <row r="59" s="3" customFormat="1" ht="12.75" x14ac:dyDescent="0.2"/>
    <row r="60" s="3" customFormat="1" ht="12.75" x14ac:dyDescent="0.2"/>
    <row r="61" s="3" customFormat="1" ht="12.75" x14ac:dyDescent="0.2"/>
    <row r="62" s="3" customFormat="1" ht="12.75" x14ac:dyDescent="0.2"/>
    <row r="63" s="3" customFormat="1" ht="12.75" x14ac:dyDescent="0.2"/>
    <row r="64" s="3" customFormat="1" ht="12.75" x14ac:dyDescent="0.2"/>
    <row r="65" s="3" customFormat="1" ht="12.75" x14ac:dyDescent="0.2"/>
    <row r="66" s="3" customFormat="1" ht="12.75" x14ac:dyDescent="0.2"/>
  </sheetData>
  <pageMargins left="0.5" right="0.5" top="0.5" bottom="0.5" header="0.5" footer="0.5"/>
  <pageSetup orientation="landscape" r:id="rId1"/>
  <headerFooter>
    <oddFooter>&amp;L&amp;G&amp;R&amp;"Arial,Regular"&amp;10&amp;K616161acuitykp.com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view="pageBreakPreview" topLeftCell="A29" zoomScaleNormal="100" zoomScaleSheetLayoutView="100" workbookViewId="0">
      <selection activeCell="B31" sqref="B31"/>
    </sheetView>
  </sheetViews>
  <sheetFormatPr defaultRowHeight="15" x14ac:dyDescent="0.25"/>
  <cols>
    <col min="1" max="1" width="3.5703125" customWidth="1"/>
    <col min="2" max="4" width="8.28515625" customWidth="1"/>
    <col min="5" max="5" width="7.28515625" customWidth="1"/>
    <col min="6" max="6" width="7.7109375" customWidth="1"/>
    <col min="7" max="14" width="10.140625" customWidth="1"/>
    <col min="15" max="15" width="2.7109375" customWidth="1"/>
  </cols>
  <sheetData>
    <row r="1" spans="2:19" ht="15.75" x14ac:dyDescent="0.25">
      <c r="B1" s="22" t="str">
        <f>Acq_name</f>
        <v>Acquisition Holdings Ltd.</v>
      </c>
      <c r="N1" s="83" t="str">
        <f>"Exhibit: "&amp;INDEX(TOC!$B$5:$E$24,MATCH($B$3,TOC!$E$5:$E$24,0),COLUMNS(TOC!J5))</f>
        <v>Exhibit: E</v>
      </c>
    </row>
    <row r="2" spans="2:19" x14ac:dyDescent="0.25">
      <c r="B2" s="23" t="str">
        <f>Targ_name</f>
        <v>WearOS Tech. Pvt. Ltd.</v>
      </c>
    </row>
    <row r="3" spans="2:19" x14ac:dyDescent="0.25">
      <c r="B3" s="24" t="str">
        <f>TOC!E12</f>
        <v>Internal rate of return</v>
      </c>
    </row>
    <row r="4" spans="2:19" x14ac:dyDescent="0.25">
      <c r="B4" s="29" t="str">
        <f>"Valuation as of "&amp;TEXT(Val_date,"DD MMMM YYYY")</f>
        <v>Valuation as of 31 March 2020</v>
      </c>
    </row>
    <row r="5" spans="2:19" x14ac:dyDescent="0.25">
      <c r="B5" s="31" t="str">
        <f>'Key Inputs and Assumptions'!C24</f>
        <v>(in USD ‘000s unless specified otherwise)</v>
      </c>
    </row>
    <row r="7" spans="2:19" ht="27.95" customHeight="1" x14ac:dyDescent="0.25">
      <c r="B7" s="259"/>
      <c r="C7" s="260"/>
      <c r="D7" s="260"/>
      <c r="E7" s="260"/>
      <c r="F7" s="261"/>
      <c r="G7" s="101" t="s">
        <v>146</v>
      </c>
      <c r="H7" s="262" t="s">
        <v>0</v>
      </c>
      <c r="I7" s="263"/>
      <c r="J7" s="263"/>
      <c r="K7" s="263"/>
      <c r="L7" s="263"/>
      <c r="M7" s="264"/>
      <c r="N7" s="21" t="s">
        <v>147</v>
      </c>
    </row>
    <row r="8" spans="2:19" x14ac:dyDescent="0.25">
      <c r="B8" s="309"/>
      <c r="C8" s="310"/>
      <c r="D8" s="310"/>
      <c r="E8" s="311"/>
      <c r="F8" s="312"/>
      <c r="G8" s="313">
        <f>'Key Inputs and Assumptions'!$C$16</f>
        <v>44196</v>
      </c>
      <c r="H8" s="313">
        <f>G8+365</f>
        <v>44561</v>
      </c>
      <c r="I8" s="313">
        <f t="shared" ref="I8:M8" si="0">H8+365</f>
        <v>44926</v>
      </c>
      <c r="J8" s="313">
        <f t="shared" si="0"/>
        <v>45291</v>
      </c>
      <c r="K8" s="313">
        <f t="shared" si="0"/>
        <v>45656</v>
      </c>
      <c r="L8" s="313">
        <f t="shared" si="0"/>
        <v>46021</v>
      </c>
      <c r="M8" s="313">
        <f t="shared" si="0"/>
        <v>46386</v>
      </c>
      <c r="N8" s="314"/>
    </row>
    <row r="9" spans="2:19" ht="15.75" thickBot="1" x14ac:dyDescent="0.3">
      <c r="B9" s="300" t="s">
        <v>2</v>
      </c>
      <c r="C9" s="301"/>
      <c r="D9" s="79"/>
      <c r="E9" s="79"/>
      <c r="F9" s="79"/>
      <c r="G9" s="302">
        <f>PFI!D10</f>
        <v>4069</v>
      </c>
      <c r="H9" s="302">
        <f>PFI!E10</f>
        <v>6239</v>
      </c>
      <c r="I9" s="302">
        <f>PFI!F10</f>
        <v>7175</v>
      </c>
      <c r="J9" s="302">
        <f>PFI!G10</f>
        <v>7892</v>
      </c>
      <c r="K9" s="302">
        <f>PFI!H10</f>
        <v>8681</v>
      </c>
      <c r="L9" s="302">
        <f>PFI!I10</f>
        <v>9115</v>
      </c>
      <c r="M9" s="302">
        <f>PFI!J10</f>
        <v>9571</v>
      </c>
      <c r="N9" s="315">
        <f>M9*(1+LTGR)</f>
        <v>9858.130000000001</v>
      </c>
      <c r="Q9" s="1"/>
    </row>
    <row r="10" spans="2:19" ht="15.75" thickBot="1" x14ac:dyDescent="0.3">
      <c r="B10" s="122" t="s">
        <v>128</v>
      </c>
      <c r="C10" s="123"/>
      <c r="D10" s="110"/>
      <c r="E10" s="110"/>
      <c r="F10" s="110"/>
      <c r="G10" s="111">
        <f>PFI!D11</f>
        <v>-849</v>
      </c>
      <c r="H10" s="111">
        <f>PFI!E11</f>
        <v>-1308</v>
      </c>
      <c r="I10" s="111">
        <f>PFI!F11</f>
        <v>-1440</v>
      </c>
      <c r="J10" s="111">
        <f>PFI!G11</f>
        <v>-1588</v>
      </c>
      <c r="K10" s="111">
        <f>PFI!H11</f>
        <v>-1955</v>
      </c>
      <c r="L10" s="111">
        <f>PFI!I11</f>
        <v>-2052</v>
      </c>
      <c r="M10" s="111">
        <f>PFI!J11</f>
        <v>-2199</v>
      </c>
      <c r="N10" s="146">
        <f>M10*$N$9/$M$9</f>
        <v>-2264.9700000000003</v>
      </c>
      <c r="Q10" s="1"/>
    </row>
    <row r="11" spans="2:19" ht="15.75" thickBot="1" x14ac:dyDescent="0.3">
      <c r="B11" s="139" t="s">
        <v>68</v>
      </c>
      <c r="C11" s="140"/>
      <c r="D11" s="141"/>
      <c r="E11" s="141"/>
      <c r="F11" s="141"/>
      <c r="G11" s="142">
        <f>SUM(G9:G10)</f>
        <v>3220</v>
      </c>
      <c r="H11" s="142">
        <f t="shared" ref="H11:N11" si="1">SUM(H9:H10)</f>
        <v>4931</v>
      </c>
      <c r="I11" s="142">
        <f t="shared" si="1"/>
        <v>5735</v>
      </c>
      <c r="J11" s="142">
        <f t="shared" si="1"/>
        <v>6304</v>
      </c>
      <c r="K11" s="142">
        <f t="shared" si="1"/>
        <v>6726</v>
      </c>
      <c r="L11" s="142">
        <f t="shared" si="1"/>
        <v>7063</v>
      </c>
      <c r="M11" s="142">
        <f t="shared" si="1"/>
        <v>7372</v>
      </c>
      <c r="N11" s="147">
        <f t="shared" si="1"/>
        <v>7593.1600000000008</v>
      </c>
      <c r="Q11" s="1"/>
    </row>
    <row r="12" spans="2:19" ht="2.1" customHeight="1" thickBot="1" x14ac:dyDescent="0.3">
      <c r="B12" s="122"/>
      <c r="C12" s="123"/>
      <c r="D12" s="110"/>
      <c r="E12" s="110"/>
      <c r="F12" s="110"/>
      <c r="G12" s="111"/>
      <c r="H12" s="111"/>
      <c r="I12" s="111"/>
      <c r="J12" s="111"/>
      <c r="K12" s="111"/>
      <c r="L12" s="111"/>
      <c r="M12" s="111"/>
      <c r="N12" s="146"/>
    </row>
    <row r="13" spans="2:19" ht="15.75" thickBot="1" x14ac:dyDescent="0.3">
      <c r="B13" s="122" t="s">
        <v>69</v>
      </c>
      <c r="C13" s="123"/>
      <c r="D13" s="110"/>
      <c r="E13" s="110"/>
      <c r="F13" s="110"/>
      <c r="G13" s="111">
        <f>PFI!D14</f>
        <v>-2308</v>
      </c>
      <c r="H13" s="111">
        <f>PFI!E14</f>
        <v>-3513</v>
      </c>
      <c r="I13" s="111">
        <f>PFI!F14</f>
        <v>-4047</v>
      </c>
      <c r="J13" s="111">
        <f>PFI!G14</f>
        <v>-4660</v>
      </c>
      <c r="K13" s="111">
        <f>PFI!H14</f>
        <v>-5320</v>
      </c>
      <c r="L13" s="111">
        <f>PFI!I14</f>
        <v>-5603</v>
      </c>
      <c r="M13" s="111">
        <f>PFI!J14</f>
        <v>-5871</v>
      </c>
      <c r="N13" s="146">
        <f>M13*$N$9/$M$9</f>
        <v>-6047.13</v>
      </c>
    </row>
    <row r="14" spans="2:19" ht="15.75" thickBot="1" x14ac:dyDescent="0.3">
      <c r="B14" s="139" t="s">
        <v>70</v>
      </c>
      <c r="C14" s="140"/>
      <c r="D14" s="141"/>
      <c r="E14" s="141"/>
      <c r="F14" s="141"/>
      <c r="G14" s="142">
        <f>SUM(G11:G13)</f>
        <v>912</v>
      </c>
      <c r="H14" s="142">
        <f t="shared" ref="H14:N14" si="2">SUM(H11:H13)</f>
        <v>1418</v>
      </c>
      <c r="I14" s="142">
        <f t="shared" si="2"/>
        <v>1688</v>
      </c>
      <c r="J14" s="142">
        <f t="shared" si="2"/>
        <v>1644</v>
      </c>
      <c r="K14" s="142">
        <f t="shared" si="2"/>
        <v>1406</v>
      </c>
      <c r="L14" s="142">
        <f t="shared" si="2"/>
        <v>1460</v>
      </c>
      <c r="M14" s="142">
        <f t="shared" si="2"/>
        <v>1501</v>
      </c>
      <c r="N14" s="147">
        <f t="shared" si="2"/>
        <v>1546.0300000000007</v>
      </c>
    </row>
    <row r="15" spans="2:19" ht="2.1" customHeight="1" thickBot="1" x14ac:dyDescent="0.3">
      <c r="B15" s="117"/>
      <c r="C15" s="110"/>
      <c r="D15" s="110"/>
      <c r="E15" s="118"/>
      <c r="F15" s="118"/>
      <c r="G15" s="111"/>
      <c r="H15" s="111"/>
      <c r="I15" s="111"/>
      <c r="J15" s="111"/>
      <c r="K15" s="111"/>
      <c r="L15" s="111"/>
      <c r="M15" s="111"/>
      <c r="N15" s="146"/>
      <c r="Q15" t="s">
        <v>118</v>
      </c>
      <c r="S15">
        <v>15</v>
      </c>
    </row>
    <row r="16" spans="2:19" ht="15.75" thickBot="1" x14ac:dyDescent="0.3">
      <c r="B16" s="11" t="s">
        <v>122</v>
      </c>
      <c r="C16" s="110"/>
      <c r="D16" s="110"/>
      <c r="E16" s="118"/>
      <c r="F16" s="118"/>
      <c r="G16" s="111">
        <f>PFI!D17+PFI!D18</f>
        <v>-145.1</v>
      </c>
      <c r="H16" s="111">
        <f>PFI!E17+PFI!E18</f>
        <v>-217.8</v>
      </c>
      <c r="I16" s="111">
        <f>PFI!F17+PFI!F18</f>
        <v>-253.5</v>
      </c>
      <c r="J16" s="111">
        <f>PFI!G17+PFI!G18</f>
        <v>-275</v>
      </c>
      <c r="K16" s="111">
        <f>PFI!H17+PFI!H18</f>
        <v>-330</v>
      </c>
      <c r="L16" s="111">
        <f>PFI!I17+PFI!I18</f>
        <v>-345</v>
      </c>
      <c r="M16" s="111">
        <f>PFI!J17+PFI!J18</f>
        <v>-366</v>
      </c>
      <c r="N16" s="146">
        <f>N24</f>
        <v>-394.32520000000005</v>
      </c>
    </row>
    <row r="17" spans="2:18" ht="15.75" thickBot="1" x14ac:dyDescent="0.3">
      <c r="B17" s="117" t="s">
        <v>123</v>
      </c>
      <c r="C17" s="141"/>
      <c r="D17" s="141"/>
      <c r="E17" s="143"/>
      <c r="F17" s="143"/>
      <c r="G17" s="142">
        <f>SUM(G14:G16)</f>
        <v>766.9</v>
      </c>
      <c r="H17" s="142">
        <f t="shared" ref="H17:N17" si="3">SUM(H14:H16)</f>
        <v>1200.2</v>
      </c>
      <c r="I17" s="142">
        <f t="shared" si="3"/>
        <v>1434.5</v>
      </c>
      <c r="J17" s="142">
        <f t="shared" si="3"/>
        <v>1369</v>
      </c>
      <c r="K17" s="142">
        <f t="shared" si="3"/>
        <v>1076</v>
      </c>
      <c r="L17" s="142">
        <f t="shared" si="3"/>
        <v>1115</v>
      </c>
      <c r="M17" s="142">
        <f t="shared" si="3"/>
        <v>1135</v>
      </c>
      <c r="N17" s="147">
        <f t="shared" si="3"/>
        <v>1151.7048000000007</v>
      </c>
    </row>
    <row r="18" spans="2:18" ht="2.1" customHeight="1" thickBot="1" x14ac:dyDescent="0.3">
      <c r="B18" s="11"/>
      <c r="C18" s="110"/>
      <c r="D18" s="110"/>
      <c r="E18" s="118"/>
      <c r="F18" s="118"/>
      <c r="G18" s="111"/>
      <c r="H18" s="111"/>
      <c r="I18" s="111"/>
      <c r="J18" s="111"/>
      <c r="K18" s="111"/>
      <c r="L18" s="111"/>
      <c r="M18" s="111"/>
      <c r="N18" s="146"/>
    </row>
    <row r="19" spans="2:18" ht="15.75" thickBot="1" x14ac:dyDescent="0.3">
      <c r="B19" s="11" t="s">
        <v>144</v>
      </c>
      <c r="C19" s="110"/>
      <c r="D19" s="110"/>
      <c r="E19" s="118"/>
      <c r="F19" s="136">
        <f>PFI!C21</f>
        <v>0.26140000000000002</v>
      </c>
      <c r="G19" s="111">
        <f>$F$19*-G17</f>
        <v>-200.46766000000002</v>
      </c>
      <c r="H19" s="111">
        <f t="shared" ref="H19:N19" si="4">$F$19*-H17</f>
        <v>-313.73228000000006</v>
      </c>
      <c r="I19" s="111">
        <f t="shared" si="4"/>
        <v>-374.97830000000005</v>
      </c>
      <c r="J19" s="111">
        <f t="shared" si="4"/>
        <v>-357.85660000000001</v>
      </c>
      <c r="K19" s="111">
        <f t="shared" si="4"/>
        <v>-281.26640000000003</v>
      </c>
      <c r="L19" s="111">
        <f t="shared" si="4"/>
        <v>-291.46100000000001</v>
      </c>
      <c r="M19" s="111">
        <f t="shared" si="4"/>
        <v>-296.68900000000002</v>
      </c>
      <c r="N19" s="146">
        <f t="shared" si="4"/>
        <v>-301.05563472000017</v>
      </c>
    </row>
    <row r="20" spans="2:18" ht="15.75" thickBot="1" x14ac:dyDescent="0.3">
      <c r="B20" s="117" t="s">
        <v>75</v>
      </c>
      <c r="C20" s="141"/>
      <c r="D20" s="141"/>
      <c r="E20" s="143"/>
      <c r="F20" s="143"/>
      <c r="G20" s="142">
        <f>SUM(G17:G19)</f>
        <v>566.43233999999995</v>
      </c>
      <c r="H20" s="142">
        <f t="shared" ref="H20:N20" si="5">SUM(H17:H19)</f>
        <v>886.46771999999999</v>
      </c>
      <c r="I20" s="142">
        <f t="shared" si="5"/>
        <v>1059.5217</v>
      </c>
      <c r="J20" s="142">
        <f t="shared" si="5"/>
        <v>1011.1433999999999</v>
      </c>
      <c r="K20" s="142">
        <f t="shared" si="5"/>
        <v>794.73360000000002</v>
      </c>
      <c r="L20" s="142">
        <f t="shared" si="5"/>
        <v>823.53899999999999</v>
      </c>
      <c r="M20" s="142">
        <f t="shared" si="5"/>
        <v>838.31099999999992</v>
      </c>
      <c r="N20" s="147">
        <f t="shared" si="5"/>
        <v>850.64916528000049</v>
      </c>
    </row>
    <row r="21" spans="2:18" ht="2.1" customHeight="1" thickBot="1" x14ac:dyDescent="0.3">
      <c r="B21" s="11"/>
      <c r="C21" s="110"/>
      <c r="D21" s="110"/>
      <c r="E21" s="118"/>
      <c r="F21" s="118"/>
      <c r="G21" s="111"/>
      <c r="H21" s="111"/>
      <c r="I21" s="111"/>
      <c r="J21" s="111"/>
      <c r="K21" s="111"/>
      <c r="L21" s="111"/>
      <c r="M21" s="111"/>
      <c r="N21" s="146"/>
    </row>
    <row r="22" spans="2:18" ht="15.75" thickBot="1" x14ac:dyDescent="0.3">
      <c r="B22" s="11" t="s">
        <v>124</v>
      </c>
      <c r="C22" s="110"/>
      <c r="D22" s="110"/>
      <c r="E22" s="118"/>
      <c r="F22" s="118"/>
      <c r="G22" s="111">
        <f>-G16</f>
        <v>145.1</v>
      </c>
      <c r="H22" s="111">
        <f t="shared" ref="H22:N22" si="6">-H16</f>
        <v>217.8</v>
      </c>
      <c r="I22" s="111">
        <f t="shared" si="6"/>
        <v>253.5</v>
      </c>
      <c r="J22" s="111">
        <f t="shared" si="6"/>
        <v>275</v>
      </c>
      <c r="K22" s="111">
        <f t="shared" si="6"/>
        <v>330</v>
      </c>
      <c r="L22" s="111">
        <f t="shared" si="6"/>
        <v>345</v>
      </c>
      <c r="M22" s="111">
        <f t="shared" si="6"/>
        <v>366</v>
      </c>
      <c r="N22" s="111">
        <f t="shared" si="6"/>
        <v>394.32520000000005</v>
      </c>
    </row>
    <row r="23" spans="2:18" ht="15.75" thickBot="1" x14ac:dyDescent="0.3">
      <c r="B23" s="11" t="s">
        <v>125</v>
      </c>
      <c r="C23" s="110"/>
      <c r="D23" s="110"/>
      <c r="E23" s="118"/>
      <c r="F23" s="118"/>
      <c r="G23" s="111">
        <f>-PFI!D26</f>
        <v>108.97333333333336</v>
      </c>
      <c r="H23" s="111">
        <f>-PFI!E26</f>
        <v>-65.093333333333362</v>
      </c>
      <c r="I23" s="111">
        <f>-PFI!F26</f>
        <v>-74.88</v>
      </c>
      <c r="J23" s="111">
        <f>-PFI!G26</f>
        <v>-57.360000000000014</v>
      </c>
      <c r="K23" s="111">
        <f>-PFI!H26</f>
        <v>-63.120000000000005</v>
      </c>
      <c r="L23" s="111">
        <f>-PFI!I26</f>
        <v>-34.720000000000027</v>
      </c>
      <c r="M23" s="111">
        <f>-PFI!J26</f>
        <v>-36.480000000000018</v>
      </c>
      <c r="N23" s="146">
        <f>M23*$N$9/$M$9</f>
        <v>-37.574400000000018</v>
      </c>
    </row>
    <row r="24" spans="2:18" ht="15.75" thickBot="1" x14ac:dyDescent="0.3">
      <c r="B24" s="11" t="s">
        <v>126</v>
      </c>
      <c r="C24" s="110"/>
      <c r="D24" s="110"/>
      <c r="E24" s="118"/>
      <c r="F24" s="118"/>
      <c r="G24" s="111">
        <f>-PFI!D24</f>
        <v>-162.76</v>
      </c>
      <c r="H24" s="111">
        <f>-PFI!E24</f>
        <v>-249.56</v>
      </c>
      <c r="I24" s="111">
        <f>-PFI!F24</f>
        <v>-287</v>
      </c>
      <c r="J24" s="111">
        <f>-PFI!G24</f>
        <v>-315.68</v>
      </c>
      <c r="K24" s="111">
        <f>-PFI!H24</f>
        <v>-347.24</v>
      </c>
      <c r="L24" s="111">
        <f>-PFI!I24</f>
        <v>-364.6</v>
      </c>
      <c r="M24" s="111">
        <f>-PFI!J24</f>
        <v>-382.84000000000003</v>
      </c>
      <c r="N24" s="146">
        <f>M24*$N$9/$M$9</f>
        <v>-394.32520000000005</v>
      </c>
    </row>
    <row r="25" spans="2:18" ht="15.75" thickBot="1" x14ac:dyDescent="0.3">
      <c r="B25" s="117" t="s">
        <v>127</v>
      </c>
      <c r="C25" s="141"/>
      <c r="D25" s="141"/>
      <c r="E25" s="143"/>
      <c r="F25" s="143"/>
      <c r="G25" s="142">
        <f>SUM(G20:G24)</f>
        <v>657.74567333333334</v>
      </c>
      <c r="H25" s="142">
        <f t="shared" ref="H25:N25" si="7">SUM(H20:H24)</f>
        <v>789.61438666666663</v>
      </c>
      <c r="I25" s="142">
        <f t="shared" si="7"/>
        <v>951.14170000000013</v>
      </c>
      <c r="J25" s="142">
        <f t="shared" si="7"/>
        <v>913.10339999999974</v>
      </c>
      <c r="K25" s="142">
        <f t="shared" si="7"/>
        <v>714.37360000000012</v>
      </c>
      <c r="L25" s="142">
        <f t="shared" si="7"/>
        <v>769.21899999999994</v>
      </c>
      <c r="M25" s="142">
        <f t="shared" si="7"/>
        <v>784.99099999999987</v>
      </c>
      <c r="N25" s="147">
        <f t="shared" si="7"/>
        <v>813.07476528000052</v>
      </c>
    </row>
    <row r="26" spans="2:18" ht="2.1" customHeight="1" thickBot="1" x14ac:dyDescent="0.3">
      <c r="B26" s="117"/>
      <c r="C26" s="110"/>
      <c r="D26" s="110"/>
      <c r="E26" s="118"/>
      <c r="F26" s="118"/>
      <c r="G26" s="114"/>
      <c r="H26" s="114"/>
      <c r="I26" s="114"/>
      <c r="J26" s="114"/>
      <c r="K26" s="114"/>
      <c r="L26" s="114"/>
      <c r="M26" s="115"/>
      <c r="N26" s="145"/>
    </row>
    <row r="27" spans="2:18" ht="15.75" thickBot="1" x14ac:dyDescent="0.3">
      <c r="B27" s="122" t="s">
        <v>7</v>
      </c>
      <c r="C27" s="123"/>
      <c r="D27" s="110"/>
      <c r="E27" s="118"/>
      <c r="F27" s="118"/>
      <c r="G27" s="114">
        <f>stub</f>
        <v>0.75</v>
      </c>
      <c r="H27" s="114">
        <f t="shared" ref="H27:M27" si="8">YEARFRAC(G8,H8,0)</f>
        <v>1</v>
      </c>
      <c r="I27" s="114">
        <f t="shared" si="8"/>
        <v>1</v>
      </c>
      <c r="J27" s="114">
        <f t="shared" si="8"/>
        <v>1</v>
      </c>
      <c r="K27" s="114">
        <f t="shared" si="8"/>
        <v>1</v>
      </c>
      <c r="L27" s="114">
        <f t="shared" si="8"/>
        <v>1</v>
      </c>
      <c r="M27" s="115">
        <f t="shared" si="8"/>
        <v>1</v>
      </c>
      <c r="N27" s="145"/>
    </row>
    <row r="28" spans="2:18" ht="15.75" thickBot="1" x14ac:dyDescent="0.3">
      <c r="B28" s="122" t="s">
        <v>109</v>
      </c>
      <c r="C28" s="123"/>
      <c r="D28" s="110"/>
      <c r="E28" s="118"/>
      <c r="F28" s="118"/>
      <c r="G28" s="114">
        <f>G27</f>
        <v>0.75</v>
      </c>
      <c r="H28" s="114">
        <f>H27+G28</f>
        <v>1.75</v>
      </c>
      <c r="I28" s="114">
        <f t="shared" ref="I28:M28" si="9">I27+H28</f>
        <v>2.75</v>
      </c>
      <c r="J28" s="114">
        <f t="shared" si="9"/>
        <v>3.75</v>
      </c>
      <c r="K28" s="114">
        <f t="shared" si="9"/>
        <v>4.75</v>
      </c>
      <c r="L28" s="114">
        <f t="shared" si="9"/>
        <v>5.75</v>
      </c>
      <c r="M28" s="115">
        <f t="shared" si="9"/>
        <v>6.75</v>
      </c>
      <c r="N28" s="145"/>
    </row>
    <row r="29" spans="2:18" ht="15.75" thickBot="1" x14ac:dyDescent="0.3">
      <c r="B29" s="122" t="s">
        <v>8</v>
      </c>
      <c r="C29" s="123"/>
      <c r="D29" s="110"/>
      <c r="E29" s="118"/>
      <c r="F29" s="118"/>
      <c r="G29" s="114">
        <f>G27/2</f>
        <v>0.375</v>
      </c>
      <c r="H29" s="114">
        <f>G28+(H27/2)</f>
        <v>1.25</v>
      </c>
      <c r="I29" s="114">
        <f t="shared" ref="I29:M29" si="10">H28+(I27/2)</f>
        <v>2.25</v>
      </c>
      <c r="J29" s="114">
        <f t="shared" si="10"/>
        <v>3.25</v>
      </c>
      <c r="K29" s="114">
        <f t="shared" si="10"/>
        <v>4.25</v>
      </c>
      <c r="L29" s="114">
        <f t="shared" si="10"/>
        <v>5.25</v>
      </c>
      <c r="M29" s="115">
        <f t="shared" si="10"/>
        <v>6.25</v>
      </c>
      <c r="N29" s="145"/>
    </row>
    <row r="30" spans="2:18" ht="15.75" thickBot="1" x14ac:dyDescent="0.3">
      <c r="B30" s="122" t="s">
        <v>9</v>
      </c>
      <c r="C30" s="123"/>
      <c r="D30" s="110"/>
      <c r="E30" s="113"/>
      <c r="F30" s="136">
        <v>0.17699999999999999</v>
      </c>
      <c r="G30" s="119">
        <f t="shared" ref="G30:M30" si="11">(1+$F$30)^-G29</f>
        <v>0.94071664056569348</v>
      </c>
      <c r="H30" s="119">
        <f t="shared" si="11"/>
        <v>0.81569804503693322</v>
      </c>
      <c r="I30" s="119">
        <f t="shared" si="11"/>
        <v>0.69303147411804022</v>
      </c>
      <c r="J30" s="119">
        <f t="shared" si="11"/>
        <v>0.58881178769587106</v>
      </c>
      <c r="K30" s="119">
        <f t="shared" si="11"/>
        <v>0.50026490033633897</v>
      </c>
      <c r="L30" s="119">
        <f t="shared" si="11"/>
        <v>0.42503390003087416</v>
      </c>
      <c r="M30" s="148">
        <f t="shared" si="11"/>
        <v>0.36111631268553457</v>
      </c>
      <c r="N30" s="145"/>
    </row>
    <row r="31" spans="2:18" x14ac:dyDescent="0.25">
      <c r="B31" s="126" t="s">
        <v>10</v>
      </c>
      <c r="C31" s="127"/>
      <c r="D31" s="127"/>
      <c r="E31" s="120"/>
      <c r="F31" s="121"/>
      <c r="G31" s="131">
        <f>G30*G25</f>
        <v>618.75230016475336</v>
      </c>
      <c r="H31" s="131">
        <f t="shared" ref="H31:M31" si="12">H30*H25</f>
        <v>644.08691153703705</v>
      </c>
      <c r="I31" s="131">
        <f t="shared" si="12"/>
        <v>659.17113444613892</v>
      </c>
      <c r="J31" s="131">
        <f t="shared" si="12"/>
        <v>537.64604530517784</v>
      </c>
      <c r="K31" s="131">
        <f t="shared" si="12"/>
        <v>357.37603780691177</v>
      </c>
      <c r="L31" s="131">
        <f t="shared" si="12"/>
        <v>326.94415154784895</v>
      </c>
      <c r="M31" s="149">
        <f t="shared" si="12"/>
        <v>283.47305541133039</v>
      </c>
      <c r="N31" s="145"/>
      <c r="R31" s="1">
        <f>SUM(G31:J31)</f>
        <v>2459.6563914531071</v>
      </c>
    </row>
    <row r="32" spans="2:18" ht="15.75" thickBot="1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thickBot="1" x14ac:dyDescent="0.3">
      <c r="B33" s="11" t="s">
        <v>113</v>
      </c>
      <c r="C33" s="110"/>
      <c r="D33" s="110"/>
      <c r="E33" s="118"/>
      <c r="F33" s="118"/>
      <c r="G33" s="146">
        <f>SUM(G31:M31)</f>
        <v>3427.4496362191981</v>
      </c>
      <c r="H33" s="3"/>
      <c r="I33" s="3"/>
      <c r="J33" s="316" t="s">
        <v>110</v>
      </c>
      <c r="K33" s="317"/>
      <c r="L33" s="317"/>
      <c r="M33" s="317"/>
      <c r="N33" s="318"/>
    </row>
    <row r="34" spans="1:14" ht="15.75" thickBot="1" x14ac:dyDescent="0.3">
      <c r="B34" s="11" t="s">
        <v>114</v>
      </c>
      <c r="C34" s="110"/>
      <c r="D34" s="110"/>
      <c r="E34" s="118"/>
      <c r="F34" s="118"/>
      <c r="G34" s="146">
        <f>N37</f>
        <v>1997.3779671807504</v>
      </c>
      <c r="H34" s="3"/>
      <c r="I34" s="3"/>
      <c r="J34" s="319" t="s">
        <v>6</v>
      </c>
      <c r="K34" s="79"/>
      <c r="L34" s="79"/>
      <c r="M34" s="79"/>
      <c r="N34" s="303">
        <f>N25</f>
        <v>813.07476528000052</v>
      </c>
    </row>
    <row r="35" spans="1:14" ht="15.75" thickBot="1" x14ac:dyDescent="0.3">
      <c r="B35" s="117" t="s">
        <v>115</v>
      </c>
      <c r="C35" s="141"/>
      <c r="D35" s="141"/>
      <c r="E35" s="143"/>
      <c r="F35" s="143"/>
      <c r="G35" s="147">
        <f>SUM(G33:G34)</f>
        <v>5424.8276033999482</v>
      </c>
      <c r="H35" s="135"/>
      <c r="I35" s="135"/>
      <c r="J35" s="11" t="s">
        <v>99</v>
      </c>
      <c r="K35" s="110"/>
      <c r="L35" s="110"/>
      <c r="M35" s="110"/>
      <c r="N35" s="164">
        <f>LTGR</f>
        <v>0.03</v>
      </c>
    </row>
    <row r="36" spans="1:14" ht="15.75" thickBot="1" x14ac:dyDescent="0.3">
      <c r="B36" s="117" t="s">
        <v>178</v>
      </c>
      <c r="C36" s="141"/>
      <c r="D36" s="141"/>
      <c r="E36" s="143"/>
      <c r="F36" s="143"/>
      <c r="G36" s="147">
        <f>ROUND(G35,0)</f>
        <v>5425</v>
      </c>
      <c r="H36" s="3"/>
      <c r="I36" s="3"/>
      <c r="J36" s="11" t="s">
        <v>112</v>
      </c>
      <c r="K36" s="110"/>
      <c r="L36" s="110"/>
      <c r="M36" s="110"/>
      <c r="N36" s="164">
        <f>F30-N35</f>
        <v>0.14699999999999999</v>
      </c>
    </row>
    <row r="37" spans="1:14" ht="15.75" thickBot="1" x14ac:dyDescent="0.3">
      <c r="B37" s="141"/>
      <c r="C37" s="141"/>
      <c r="D37" s="141"/>
      <c r="E37" s="143"/>
      <c r="F37" s="143"/>
      <c r="G37" s="142"/>
      <c r="H37" s="135"/>
      <c r="I37" s="135"/>
      <c r="J37" s="126" t="s">
        <v>111</v>
      </c>
      <c r="K37" s="127"/>
      <c r="L37" s="127"/>
      <c r="M37" s="127"/>
      <c r="N37" s="149">
        <f>(N34/N36)*M30</f>
        <v>1997.3779671807504</v>
      </c>
    </row>
    <row r="38" spans="1:14" ht="15.75" thickBot="1" x14ac:dyDescent="0.3">
      <c r="A38" s="30"/>
      <c r="B38" s="117" t="s">
        <v>54</v>
      </c>
      <c r="C38" s="141"/>
      <c r="D38" s="141"/>
      <c r="E38" s="143"/>
      <c r="F38" s="143"/>
      <c r="G38" s="320">
        <v>5425</v>
      </c>
      <c r="H38" s="150"/>
      <c r="I38" s="108"/>
      <c r="J38" s="108"/>
      <c r="K38" s="108"/>
      <c r="L38" s="108"/>
      <c r="M38" s="108"/>
      <c r="N38" s="108"/>
    </row>
    <row r="39" spans="1:14" x14ac:dyDescent="0.25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spans="1:14" x14ac:dyDescent="0.25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spans="1:14" x14ac:dyDescent="0.25">
      <c r="B41" s="85" t="s">
        <v>76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93"/>
    </row>
    <row r="42" spans="1:14" x14ac:dyDescent="0.25">
      <c r="B42" s="88" t="s">
        <v>77</v>
      </c>
      <c r="C42" s="87"/>
      <c r="D42" s="94"/>
      <c r="E42" s="94"/>
      <c r="F42" s="94"/>
      <c r="G42" s="94" t="s">
        <v>83</v>
      </c>
      <c r="H42" s="95">
        <f>(H9/(G9/stub))-1</f>
        <v>0.14997542393708541</v>
      </c>
      <c r="I42" s="95">
        <f t="shared" ref="I42:N42" si="13">I9/H9-1</f>
        <v>0.15002404231447342</v>
      </c>
      <c r="J42" s="95">
        <f t="shared" si="13"/>
        <v>9.9930313588850073E-2</v>
      </c>
      <c r="K42" s="95">
        <f t="shared" si="13"/>
        <v>9.9974657881398921E-2</v>
      </c>
      <c r="L42" s="95">
        <f t="shared" si="13"/>
        <v>4.9994240294896963E-2</v>
      </c>
      <c r="M42" s="95">
        <f t="shared" si="13"/>
        <v>5.0027427317608231E-2</v>
      </c>
      <c r="N42" s="95">
        <f t="shared" si="13"/>
        <v>3.0000000000000027E-2</v>
      </c>
    </row>
    <row r="43" spans="1:14" x14ac:dyDescent="0.25">
      <c r="B43" s="88" t="s">
        <v>131</v>
      </c>
      <c r="C43" s="87"/>
      <c r="D43" s="94"/>
      <c r="E43" s="94"/>
      <c r="F43" s="94"/>
      <c r="G43" s="95">
        <f t="shared" ref="G43:N44" si="14">G10/G$9</f>
        <v>-0.20865077414598182</v>
      </c>
      <c r="H43" s="95">
        <f t="shared" si="14"/>
        <v>-0.2096489822086873</v>
      </c>
      <c r="I43" s="95">
        <f t="shared" si="14"/>
        <v>-0.20069686411149826</v>
      </c>
      <c r="J43" s="95">
        <f t="shared" si="14"/>
        <v>-0.20121642169285353</v>
      </c>
      <c r="K43" s="95">
        <f t="shared" si="14"/>
        <v>-0.22520446953116</v>
      </c>
      <c r="L43" s="95">
        <f t="shared" si="14"/>
        <v>-0.22512342292923751</v>
      </c>
      <c r="M43" s="95">
        <f t="shared" si="14"/>
        <v>-0.2297565562637133</v>
      </c>
      <c r="N43" s="95">
        <f t="shared" si="14"/>
        <v>-0.2297565562637133</v>
      </c>
    </row>
    <row r="44" spans="1:14" x14ac:dyDescent="0.25">
      <c r="B44" s="88" t="s">
        <v>132</v>
      </c>
      <c r="C44" s="87"/>
      <c r="D44" s="94"/>
      <c r="E44" s="94"/>
      <c r="F44" s="94"/>
      <c r="G44" s="95">
        <f t="shared" si="14"/>
        <v>0.79134922585401823</v>
      </c>
      <c r="H44" s="95">
        <f t="shared" si="14"/>
        <v>0.79035101779131267</v>
      </c>
      <c r="I44" s="95">
        <f t="shared" si="14"/>
        <v>0.79930313588850177</v>
      </c>
      <c r="J44" s="95">
        <f t="shared" si="14"/>
        <v>0.79878357830714652</v>
      </c>
      <c r="K44" s="95">
        <f t="shared" si="14"/>
        <v>0.77479553046883998</v>
      </c>
      <c r="L44" s="95">
        <f t="shared" si="14"/>
        <v>0.77487657707076252</v>
      </c>
      <c r="M44" s="95">
        <f t="shared" si="14"/>
        <v>0.77024344373628673</v>
      </c>
      <c r="N44" s="95">
        <f t="shared" si="14"/>
        <v>0.77024344373628673</v>
      </c>
    </row>
    <row r="45" spans="1:14" x14ac:dyDescent="0.25">
      <c r="B45" s="88" t="s">
        <v>133</v>
      </c>
      <c r="C45" s="87"/>
      <c r="D45" s="94"/>
      <c r="E45" s="94"/>
      <c r="F45" s="94"/>
      <c r="G45" s="95">
        <f t="shared" ref="G45:N46" si="15">G13/G$9</f>
        <v>-0.56721553207176212</v>
      </c>
      <c r="H45" s="95">
        <f t="shared" si="15"/>
        <v>-0.56307100496874496</v>
      </c>
      <c r="I45" s="95">
        <f t="shared" si="15"/>
        <v>-0.56404181184668989</v>
      </c>
      <c r="J45" s="95">
        <f t="shared" si="15"/>
        <v>-0.59047136340598072</v>
      </c>
      <c r="K45" s="95">
        <f t="shared" si="15"/>
        <v>-0.61283262296970398</v>
      </c>
      <c r="L45" s="95">
        <f t="shared" si="15"/>
        <v>-0.6147010422380691</v>
      </c>
      <c r="M45" s="95">
        <f t="shared" si="15"/>
        <v>-0.61341552606833138</v>
      </c>
      <c r="N45" s="95">
        <f t="shared" si="15"/>
        <v>-0.61341552606833138</v>
      </c>
    </row>
    <row r="46" spans="1:14" x14ac:dyDescent="0.25">
      <c r="B46" s="88" t="s">
        <v>135</v>
      </c>
      <c r="C46" s="87"/>
      <c r="D46" s="94"/>
      <c r="E46" s="94"/>
      <c r="F46" s="94"/>
      <c r="G46" s="95">
        <f t="shared" si="15"/>
        <v>0.22413369378225609</v>
      </c>
      <c r="H46" s="95">
        <f t="shared" si="15"/>
        <v>0.22728001282256771</v>
      </c>
      <c r="I46" s="95">
        <f t="shared" si="15"/>
        <v>0.23526132404181185</v>
      </c>
      <c r="J46" s="95">
        <f t="shared" si="15"/>
        <v>0.20831221490116575</v>
      </c>
      <c r="K46" s="95">
        <f t="shared" si="15"/>
        <v>0.16196290749913606</v>
      </c>
      <c r="L46" s="95">
        <f t="shared" si="15"/>
        <v>0.16017553483269337</v>
      </c>
      <c r="M46" s="95">
        <f t="shared" si="15"/>
        <v>0.15682791766795529</v>
      </c>
      <c r="N46" s="95">
        <f t="shared" si="15"/>
        <v>0.15682791766795534</v>
      </c>
    </row>
    <row r="47" spans="1:14" x14ac:dyDescent="0.25">
      <c r="B47" s="88" t="s">
        <v>134</v>
      </c>
      <c r="C47" s="87"/>
      <c r="D47" s="94"/>
      <c r="E47" s="94"/>
      <c r="F47" s="94"/>
      <c r="G47" s="95">
        <f t="shared" ref="G47:N48" si="16">G16/G$9</f>
        <v>-3.5659867289260259E-2</v>
      </c>
      <c r="H47" s="95">
        <f t="shared" si="16"/>
        <v>-3.4909440615483255E-2</v>
      </c>
      <c r="I47" s="95">
        <f t="shared" si="16"/>
        <v>-3.5331010452961671E-2</v>
      </c>
      <c r="J47" s="95">
        <f t="shared" si="16"/>
        <v>-3.4845413076533195E-2</v>
      </c>
      <c r="K47" s="95">
        <f t="shared" si="16"/>
        <v>-3.8014053680451562E-2</v>
      </c>
      <c r="L47" s="95">
        <f t="shared" si="16"/>
        <v>-3.784969829950631E-2</v>
      </c>
      <c r="M47" s="95">
        <f t="shared" si="16"/>
        <v>-3.8240518232159647E-2</v>
      </c>
      <c r="N47" s="95">
        <f t="shared" si="16"/>
        <v>-0.04</v>
      </c>
    </row>
    <row r="48" spans="1:14" x14ac:dyDescent="0.25">
      <c r="B48" s="88" t="s">
        <v>80</v>
      </c>
      <c r="C48" s="87"/>
      <c r="D48" s="94"/>
      <c r="E48" s="94"/>
      <c r="F48" s="94"/>
      <c r="G48" s="95">
        <f t="shared" si="16"/>
        <v>0.18847382649299582</v>
      </c>
      <c r="H48" s="95">
        <f t="shared" si="16"/>
        <v>0.19237057220708448</v>
      </c>
      <c r="I48" s="95">
        <f t="shared" si="16"/>
        <v>0.19993031358885016</v>
      </c>
      <c r="J48" s="95">
        <f t="shared" si="16"/>
        <v>0.17346680182463253</v>
      </c>
      <c r="K48" s="95">
        <f t="shared" si="16"/>
        <v>0.12394885381868448</v>
      </c>
      <c r="L48" s="95">
        <f t="shared" si="16"/>
        <v>0.12232583653318706</v>
      </c>
      <c r="M48" s="95">
        <f t="shared" si="16"/>
        <v>0.11858739943579563</v>
      </c>
      <c r="N48" s="95">
        <f t="shared" si="16"/>
        <v>0.11682791766795533</v>
      </c>
    </row>
    <row r="49" spans="2:14" x14ac:dyDescent="0.25">
      <c r="B49" s="88" t="s">
        <v>106</v>
      </c>
      <c r="C49" s="87"/>
      <c r="D49" s="94"/>
      <c r="E49" s="94"/>
      <c r="F49" s="94"/>
      <c r="G49" s="95">
        <f t="shared" ref="G49:N49" si="17">-G24/G9</f>
        <v>0.04</v>
      </c>
      <c r="H49" s="95">
        <f t="shared" si="17"/>
        <v>0.04</v>
      </c>
      <c r="I49" s="95">
        <f t="shared" si="17"/>
        <v>0.04</v>
      </c>
      <c r="J49" s="95">
        <f t="shared" si="17"/>
        <v>0.04</v>
      </c>
      <c r="K49" s="95">
        <f t="shared" si="17"/>
        <v>0.04</v>
      </c>
      <c r="L49" s="95">
        <f t="shared" si="17"/>
        <v>0.04</v>
      </c>
      <c r="M49" s="95">
        <f t="shared" si="17"/>
        <v>0.04</v>
      </c>
      <c r="N49" s="95">
        <f t="shared" si="17"/>
        <v>0.04</v>
      </c>
    </row>
    <row r="50" spans="2:14" x14ac:dyDescent="0.25">
      <c r="B50" s="88" t="s">
        <v>136</v>
      </c>
      <c r="C50" s="87"/>
      <c r="D50" s="94"/>
      <c r="E50" s="94"/>
      <c r="F50" s="94"/>
      <c r="G50" s="95">
        <f>PFI!C25</f>
        <v>0.08</v>
      </c>
      <c r="H50" s="95">
        <f>G50</f>
        <v>0.08</v>
      </c>
      <c r="I50" s="95">
        <f t="shared" ref="I50:N50" si="18">H50</f>
        <v>0.08</v>
      </c>
      <c r="J50" s="95">
        <f t="shared" si="18"/>
        <v>0.08</v>
      </c>
      <c r="K50" s="95">
        <f t="shared" si="18"/>
        <v>0.08</v>
      </c>
      <c r="L50" s="95">
        <f t="shared" si="18"/>
        <v>0.08</v>
      </c>
      <c r="M50" s="95">
        <f t="shared" si="18"/>
        <v>0.08</v>
      </c>
      <c r="N50" s="95">
        <f t="shared" si="18"/>
        <v>0.08</v>
      </c>
    </row>
    <row r="51" spans="2:14" x14ac:dyDescent="0.25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</row>
    <row r="52" spans="2:14" x14ac:dyDescent="0.25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</row>
  </sheetData>
  <mergeCells count="3">
    <mergeCell ref="B7:F7"/>
    <mergeCell ref="H7:M7"/>
    <mergeCell ref="J33:M33"/>
  </mergeCells>
  <pageMargins left="0.5" right="0.5" top="0.5" bottom="0.5" header="0.5" footer="0.5"/>
  <pageSetup fitToHeight="0" orientation="landscape" r:id="rId1"/>
  <headerFooter>
    <oddFooter>&amp;L&amp;G&amp;R&amp;"Arial,Regular"&amp;10&amp;K616161acuitykp.com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</vt:i4>
      </vt:variant>
    </vt:vector>
  </HeadingPairs>
  <TitlesOfParts>
    <vt:vector size="35" baseType="lpstr">
      <vt:lpstr>Key Inputs and Assumptions</vt:lpstr>
      <vt:lpstr>Cover</vt:lpstr>
      <vt:lpstr>TOC</vt:lpstr>
      <vt:lpstr>Summary of Values</vt:lpstr>
      <vt:lpstr>WARA</vt:lpstr>
      <vt:lpstr>Historical IS</vt:lpstr>
      <vt:lpstr>Historical BS</vt:lpstr>
      <vt:lpstr>PFI</vt:lpstr>
      <vt:lpstr>IRR</vt:lpstr>
      <vt:lpstr>Trade Name and Trademarks</vt:lpstr>
      <vt:lpstr>Non-Compete Agreement</vt:lpstr>
      <vt:lpstr>Dev. Tech.</vt:lpstr>
      <vt:lpstr>WACC</vt:lpstr>
      <vt:lpstr>Acq_name</vt:lpstr>
      <vt:lpstr>LFY</vt:lpstr>
      <vt:lpstr>LTGR</vt:lpstr>
      <vt:lpstr>Cover!Print_Area</vt:lpstr>
      <vt:lpstr>'Dev. Tech.'!Print_Area</vt:lpstr>
      <vt:lpstr>'Historical BS'!Print_Area</vt:lpstr>
      <vt:lpstr>'Historical IS'!Print_Area</vt:lpstr>
      <vt:lpstr>IRR!Print_Area</vt:lpstr>
      <vt:lpstr>'Non-Compete Agreement'!Print_Area</vt:lpstr>
      <vt:lpstr>PFI!Print_Area</vt:lpstr>
      <vt:lpstr>'Summary of Values'!Print_Area</vt:lpstr>
      <vt:lpstr>TOC!Print_Area</vt:lpstr>
      <vt:lpstr>'Trade Name and Trademarks'!Print_Area</vt:lpstr>
      <vt:lpstr>WACC!Print_Area</vt:lpstr>
      <vt:lpstr>WARA!Print_Area</vt:lpstr>
      <vt:lpstr>'Dev. Tech.'!Print_Titles</vt:lpstr>
      <vt:lpstr>'Non-Compete Agreement'!Print_Titles</vt:lpstr>
      <vt:lpstr>stub</vt:lpstr>
      <vt:lpstr>Targ_name</vt:lpstr>
      <vt:lpstr>tax_rate</vt:lpstr>
      <vt:lpstr>TTM</vt:lpstr>
      <vt:lpstr>Val_date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Mittal</dc:creator>
  <cp:lastModifiedBy>Ayush Mittal</cp:lastModifiedBy>
  <cp:lastPrinted>2020-12-11T09:33:27Z</cp:lastPrinted>
  <dcterms:created xsi:type="dcterms:W3CDTF">2020-12-10T04:42:18Z</dcterms:created>
  <dcterms:modified xsi:type="dcterms:W3CDTF">2020-12-11T10:29:03Z</dcterms:modified>
</cp:coreProperties>
</file>