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cars\Desktop\u of t\rsm222\"/>
    </mc:Choice>
  </mc:AlternateContent>
  <xr:revisionPtr revIDLastSave="0" documentId="13_ncr:1_{80EBB32E-2678-4BB5-BEBE-B965BED5E851}" xr6:coauthVersionLast="47" xr6:coauthVersionMax="47" xr10:uidLastSave="{00000000-0000-0000-0000-000000000000}"/>
  <bookViews>
    <workbookView xWindow="-28920" yWindow="-120" windowWidth="29040" windowHeight="16440" firstSheet="1" activeTab="2" xr2:uid="{00000000-000D-0000-FFFF-FFFF00000000}"/>
  </bookViews>
  <sheets>
    <sheet name="assumption" sheetId="4" r:id="rId1"/>
    <sheet name="costing and selling price" sheetId="2" r:id="rId2"/>
    <sheet name="budget Product 1 Anual budget" sheetId="10" r:id="rId3"/>
    <sheet name="budget Product 2 Anual budget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3" i="9" l="1"/>
  <c r="B124" i="9"/>
  <c r="M98" i="9"/>
  <c r="L97" i="9"/>
  <c r="K96" i="9"/>
  <c r="J95" i="9"/>
  <c r="I94" i="9"/>
  <c r="H93" i="9"/>
  <c r="G92" i="9"/>
  <c r="F91" i="9"/>
  <c r="E90" i="9"/>
  <c r="D89" i="9"/>
  <c r="C88" i="9"/>
  <c r="B87" i="9"/>
  <c r="N60" i="9"/>
  <c r="N61" i="9"/>
  <c r="N62" i="9"/>
  <c r="N63" i="9"/>
  <c r="N64" i="9"/>
  <c r="N65" i="9"/>
  <c r="N66" i="9"/>
  <c r="N67" i="9"/>
  <c r="N68" i="9"/>
  <c r="N69" i="9"/>
  <c r="N70" i="9"/>
  <c r="N71" i="9"/>
  <c r="N59" i="9"/>
  <c r="N54" i="9"/>
  <c r="N82" i="9"/>
  <c r="C77" i="9"/>
  <c r="D77" i="9"/>
  <c r="E77" i="9"/>
  <c r="F77" i="9"/>
  <c r="G77" i="9"/>
  <c r="H77" i="9"/>
  <c r="I77" i="9"/>
  <c r="J77" i="9"/>
  <c r="K77" i="9"/>
  <c r="L77" i="9"/>
  <c r="M77" i="9"/>
  <c r="B77" i="9"/>
  <c r="C75" i="9"/>
  <c r="D75" i="9"/>
  <c r="E75" i="9"/>
  <c r="F75" i="9"/>
  <c r="G75" i="9"/>
  <c r="H75" i="9"/>
  <c r="I75" i="9"/>
  <c r="J75" i="9"/>
  <c r="K75" i="9"/>
  <c r="L75" i="9"/>
  <c r="M75" i="9"/>
  <c r="B75" i="9"/>
  <c r="B80" i="9"/>
  <c r="M78" i="9"/>
  <c r="M53" i="9"/>
  <c r="C54" i="9"/>
  <c r="D54" i="9"/>
  <c r="E54" i="9"/>
  <c r="F54" i="9"/>
  <c r="G54" i="9"/>
  <c r="H54" i="9"/>
  <c r="I54" i="9"/>
  <c r="J54" i="9"/>
  <c r="K54" i="9"/>
  <c r="L54" i="9"/>
  <c r="M54" i="9"/>
  <c r="M70" i="9" s="1"/>
  <c r="B54" i="9"/>
  <c r="N26" i="9"/>
  <c r="I10" i="9"/>
  <c r="H10" i="9"/>
  <c r="E8" i="9"/>
  <c r="E25" i="9" s="1"/>
  <c r="D26" i="9" s="1"/>
  <c r="E28" i="9" s="1"/>
  <c r="M10" i="9"/>
  <c r="B11" i="9"/>
  <c r="B10" i="9"/>
  <c r="D10" i="9" s="1"/>
  <c r="B93" i="10"/>
  <c r="M91" i="10"/>
  <c r="B86" i="10"/>
  <c r="B79" i="10"/>
  <c r="M54" i="10"/>
  <c r="M70" i="10" s="1"/>
  <c r="N70" i="10" s="1"/>
  <c r="B52" i="10"/>
  <c r="M50" i="10"/>
  <c r="B41" i="10"/>
  <c r="G38" i="10"/>
  <c r="F39" i="10" s="1"/>
  <c r="G41" i="10" s="1"/>
  <c r="N30" i="10"/>
  <c r="G29" i="10"/>
  <c r="I17" i="10"/>
  <c r="H17" i="10"/>
  <c r="B17" i="10"/>
  <c r="D17" i="10" s="1"/>
  <c r="L17" i="10" s="1"/>
  <c r="K16" i="10"/>
  <c r="I16" i="10"/>
  <c r="H16" i="10"/>
  <c r="E16" i="10"/>
  <c r="M16" i="10" s="1"/>
  <c r="B16" i="10"/>
  <c r="D16" i="10" s="1"/>
  <c r="L16" i="10" s="1"/>
  <c r="J15" i="10"/>
  <c r="K15" i="10" s="1"/>
  <c r="I15" i="10"/>
  <c r="I38" i="10" s="1"/>
  <c r="H15" i="10"/>
  <c r="H38" i="10" s="1"/>
  <c r="F15" i="10"/>
  <c r="F38" i="10" s="1"/>
  <c r="E39" i="10" s="1"/>
  <c r="F41" i="10" s="1"/>
  <c r="E15" i="10"/>
  <c r="E38" i="10" s="1"/>
  <c r="J14" i="10"/>
  <c r="J29" i="10" s="1"/>
  <c r="I30" i="10" s="1"/>
  <c r="J32" i="10" s="1"/>
  <c r="I14" i="10"/>
  <c r="H14" i="10"/>
  <c r="H18" i="10" s="1"/>
  <c r="H23" i="10" s="1"/>
  <c r="H24" i="10" s="1"/>
  <c r="H138" i="10" s="1"/>
  <c r="F14" i="10"/>
  <c r="F29" i="10" s="1"/>
  <c r="E30" i="10" s="1"/>
  <c r="F32" i="10" s="1"/>
  <c r="E14" i="10"/>
  <c r="M4" i="10"/>
  <c r="L4" i="10"/>
  <c r="K4" i="10"/>
  <c r="J4" i="10"/>
  <c r="B14" i="10" s="1"/>
  <c r="B29" i="10" s="1"/>
  <c r="M50" i="9"/>
  <c r="I11" i="9"/>
  <c r="H11" i="9"/>
  <c r="T5" i="9"/>
  <c r="C9" i="9" s="1"/>
  <c r="D9" i="9" s="1"/>
  <c r="E9" i="9" s="1"/>
  <c r="S5" i="9"/>
  <c r="C8" i="9" s="1"/>
  <c r="R5" i="9"/>
  <c r="Q5" i="9"/>
  <c r="B52" i="9"/>
  <c r="B38" i="9"/>
  <c r="D11" i="9"/>
  <c r="L11" i="9" s="1"/>
  <c r="E10" i="2"/>
  <c r="E13" i="2" s="1"/>
  <c r="D10" i="2"/>
  <c r="C13" i="2"/>
  <c r="D13" i="2"/>
  <c r="B13" i="2"/>
  <c r="C37" i="4"/>
  <c r="C36" i="4"/>
  <c r="C33" i="4"/>
  <c r="C32" i="4"/>
  <c r="E29" i="4"/>
  <c r="E28" i="4"/>
  <c r="B15" i="4"/>
  <c r="B9" i="4"/>
  <c r="C17" i="10" l="1"/>
  <c r="F16" i="10"/>
  <c r="J16" i="10"/>
  <c r="J18" i="10" s="1"/>
  <c r="J23" i="10" s="1"/>
  <c r="J24" i="10" s="1"/>
  <c r="J138" i="10" s="1"/>
  <c r="F17" i="10"/>
  <c r="J17" i="10"/>
  <c r="C14" i="10"/>
  <c r="C29" i="10" s="1"/>
  <c r="B30" i="10" s="1"/>
  <c r="C32" i="10" s="1"/>
  <c r="D14" i="10"/>
  <c r="H29" i="10"/>
  <c r="G16" i="10"/>
  <c r="E78" i="9"/>
  <c r="F80" i="9" s="1"/>
  <c r="I78" i="9"/>
  <c r="J80" i="9" s="1"/>
  <c r="C78" i="9"/>
  <c r="D80" i="9" s="1"/>
  <c r="G78" i="9"/>
  <c r="H80" i="9" s="1"/>
  <c r="K78" i="9"/>
  <c r="L80" i="9" s="1"/>
  <c r="D78" i="9"/>
  <c r="E80" i="9" s="1"/>
  <c r="H78" i="9"/>
  <c r="I80" i="9" s="1"/>
  <c r="M79" i="9"/>
  <c r="L78" i="9"/>
  <c r="M80" i="9" s="1"/>
  <c r="C79" i="9"/>
  <c r="B78" i="9"/>
  <c r="C80" i="9" s="1"/>
  <c r="F78" i="9"/>
  <c r="G80" i="9" s="1"/>
  <c r="J78" i="9"/>
  <c r="K80" i="9" s="1"/>
  <c r="G8" i="9"/>
  <c r="I8" i="9" s="1"/>
  <c r="B8" i="9"/>
  <c r="D8" i="9" s="1"/>
  <c r="F8" i="9" s="1"/>
  <c r="H8" i="9" s="1"/>
  <c r="H25" i="9" s="1"/>
  <c r="G26" i="9" s="1"/>
  <c r="H28" i="9" s="1"/>
  <c r="F9" i="9"/>
  <c r="F35" i="9" s="1"/>
  <c r="E36" i="9" s="1"/>
  <c r="F38" i="9" s="1"/>
  <c r="E35" i="9"/>
  <c r="D36" i="9" s="1"/>
  <c r="E38" i="9" s="1"/>
  <c r="B9" i="9"/>
  <c r="B35" i="9" s="1"/>
  <c r="C10" i="9"/>
  <c r="C35" i="9"/>
  <c r="B36" i="9" s="1"/>
  <c r="C38" i="9" s="1"/>
  <c r="G9" i="9"/>
  <c r="H9" i="9" s="1"/>
  <c r="E40" i="10"/>
  <c r="D39" i="10"/>
  <c r="E41" i="10" s="1"/>
  <c r="H39" i="10"/>
  <c r="I41" i="10" s="1"/>
  <c r="L15" i="10"/>
  <c r="K38" i="10"/>
  <c r="F40" i="10"/>
  <c r="F42" i="10" s="1"/>
  <c r="G39" i="10"/>
  <c r="F30" i="10"/>
  <c r="G32" i="10" s="1"/>
  <c r="C15" i="10"/>
  <c r="B15" i="10"/>
  <c r="B38" i="10" s="1"/>
  <c r="I18" i="10"/>
  <c r="I23" i="10" s="1"/>
  <c r="I24" i="10" s="1"/>
  <c r="I138" i="10" s="1"/>
  <c r="I29" i="10"/>
  <c r="D15" i="10"/>
  <c r="D38" i="10" s="1"/>
  <c r="G30" i="10"/>
  <c r="H32" i="10" s="1"/>
  <c r="J38" i="10"/>
  <c r="E29" i="10"/>
  <c r="K14" i="10"/>
  <c r="D35" i="9"/>
  <c r="J11" i="9"/>
  <c r="F11" i="9"/>
  <c r="C11" i="9"/>
  <c r="D18" i="10" l="1"/>
  <c r="D23" i="10" s="1"/>
  <c r="D24" i="10" s="1"/>
  <c r="D138" i="10" s="1"/>
  <c r="F18" i="10"/>
  <c r="F23" i="10" s="1"/>
  <c r="F24" i="10" s="1"/>
  <c r="F138" i="10" s="1"/>
  <c r="D29" i="10"/>
  <c r="E17" i="10"/>
  <c r="K17" i="10"/>
  <c r="D79" i="9"/>
  <c r="D81" i="9" s="1"/>
  <c r="D82" i="9" s="1"/>
  <c r="L79" i="9"/>
  <c r="L81" i="9"/>
  <c r="L82" i="9" s="1"/>
  <c r="C81" i="9"/>
  <c r="C82" i="9" s="1"/>
  <c r="I79" i="9"/>
  <c r="I81" i="9" s="1"/>
  <c r="I82" i="9" s="1"/>
  <c r="K79" i="9"/>
  <c r="K81" i="9" s="1"/>
  <c r="K82" i="9" s="1"/>
  <c r="B79" i="9"/>
  <c r="B81" i="9" s="1"/>
  <c r="B82" i="9" s="1"/>
  <c r="J79" i="9"/>
  <c r="J81" i="9" s="1"/>
  <c r="J82" i="9" s="1"/>
  <c r="G79" i="9"/>
  <c r="G81" i="9" s="1"/>
  <c r="G82" i="9" s="1"/>
  <c r="M81" i="9"/>
  <c r="M82" i="9" s="1"/>
  <c r="E79" i="9"/>
  <c r="E81" i="9" s="1"/>
  <c r="E82" i="9" s="1"/>
  <c r="H79" i="9"/>
  <c r="H81" i="9" s="1"/>
  <c r="H82" i="9" s="1"/>
  <c r="F79" i="9"/>
  <c r="F81" i="9" s="1"/>
  <c r="F82" i="9" s="1"/>
  <c r="F25" i="9"/>
  <c r="E26" i="9" s="1"/>
  <c r="F28" i="9" s="1"/>
  <c r="G25" i="9"/>
  <c r="F26" i="9" s="1"/>
  <c r="G28" i="9" s="1"/>
  <c r="G27" i="9"/>
  <c r="G29" i="9" s="1"/>
  <c r="I25" i="9"/>
  <c r="H26" i="9" s="1"/>
  <c r="F27" i="9"/>
  <c r="F29" i="9" s="1"/>
  <c r="J25" i="9"/>
  <c r="I26" i="9" s="1"/>
  <c r="J28" i="9" s="1"/>
  <c r="G35" i="9"/>
  <c r="F36" i="9" s="1"/>
  <c r="I39" i="10"/>
  <c r="C30" i="10"/>
  <c r="L38" i="10"/>
  <c r="M15" i="10"/>
  <c r="M38" i="10" s="1"/>
  <c r="D40" i="10"/>
  <c r="C39" i="10"/>
  <c r="D41" i="10" s="1"/>
  <c r="B18" i="10"/>
  <c r="K18" i="10"/>
  <c r="K23" i="10" s="1"/>
  <c r="K24" i="10" s="1"/>
  <c r="K138" i="10" s="1"/>
  <c r="L14" i="10"/>
  <c r="K29" i="10"/>
  <c r="B31" i="10"/>
  <c r="I31" i="10"/>
  <c r="H30" i="10"/>
  <c r="C38" i="10"/>
  <c r="C18" i="10"/>
  <c r="C23" i="10" s="1"/>
  <c r="C24" i="10" s="1"/>
  <c r="C138" i="10" s="1"/>
  <c r="H41" i="10"/>
  <c r="G40" i="10"/>
  <c r="G42" i="10" s="1"/>
  <c r="F129" i="10"/>
  <c r="F131" i="10" s="1"/>
  <c r="F74" i="10"/>
  <c r="E31" i="10"/>
  <c r="D30" i="10"/>
  <c r="E32" i="10" s="1"/>
  <c r="F31" i="10"/>
  <c r="F33" i="10" s="1"/>
  <c r="H40" i="10"/>
  <c r="J39" i="10"/>
  <c r="K41" i="10" s="1"/>
  <c r="G31" i="10"/>
  <c r="G33" i="10" s="1"/>
  <c r="E42" i="10"/>
  <c r="E37" i="9"/>
  <c r="E39" i="9" s="1"/>
  <c r="C12" i="9"/>
  <c r="C18" i="9" s="1"/>
  <c r="C19" i="9" s="1"/>
  <c r="C124" i="9" s="1"/>
  <c r="L25" i="9"/>
  <c r="F12" i="9"/>
  <c r="F18" i="9" s="1"/>
  <c r="F19" i="9" s="1"/>
  <c r="F124" i="9" s="1"/>
  <c r="K11" i="9"/>
  <c r="E11" i="9"/>
  <c r="M11" i="9" s="1"/>
  <c r="C36" i="9"/>
  <c r="D37" i="9"/>
  <c r="D12" i="9"/>
  <c r="D18" i="9" s="1"/>
  <c r="D19" i="9" s="1"/>
  <c r="D124" i="9" s="1"/>
  <c r="C25" i="9"/>
  <c r="B26" i="9" s="1"/>
  <c r="M17" i="10" l="1"/>
  <c r="G17" i="10"/>
  <c r="G18" i="10" s="1"/>
  <c r="G23" i="10" s="1"/>
  <c r="G24" i="10" s="1"/>
  <c r="G138" i="10" s="1"/>
  <c r="E18" i="10"/>
  <c r="E23" i="10" s="1"/>
  <c r="E24" i="10" s="1"/>
  <c r="E138" i="10" s="1"/>
  <c r="E27" i="9"/>
  <c r="E29" i="9" s="1"/>
  <c r="E104" i="9" s="1"/>
  <c r="E106" i="9" s="1"/>
  <c r="I27" i="9"/>
  <c r="E47" i="9"/>
  <c r="E49" i="9" s="1"/>
  <c r="D50" i="9" s="1"/>
  <c r="E52" i="9" s="1"/>
  <c r="F47" i="9"/>
  <c r="F49" i="9" s="1"/>
  <c r="E50" i="9" s="1"/>
  <c r="F52" i="9" s="1"/>
  <c r="F104" i="9"/>
  <c r="F106" i="9" s="1"/>
  <c r="G47" i="9"/>
  <c r="G49" i="9" s="1"/>
  <c r="F50" i="9" s="1"/>
  <c r="G52" i="9" s="1"/>
  <c r="G104" i="9"/>
  <c r="G106" i="9" s="1"/>
  <c r="I28" i="9"/>
  <c r="H27" i="9"/>
  <c r="H29" i="9" s="1"/>
  <c r="K25" i="9"/>
  <c r="J26" i="9" s="1"/>
  <c r="K28" i="9" s="1"/>
  <c r="G38" i="9"/>
  <c r="F37" i="9"/>
  <c r="F39" i="9" s="1"/>
  <c r="E113" i="9"/>
  <c r="E115" i="9" s="1"/>
  <c r="E116" i="9" s="1"/>
  <c r="I9" i="9"/>
  <c r="H35" i="9"/>
  <c r="H12" i="9"/>
  <c r="H18" i="9" s="1"/>
  <c r="H19" i="9" s="1"/>
  <c r="H124" i="9" s="1"/>
  <c r="G129" i="10"/>
  <c r="G131" i="10" s="1"/>
  <c r="G74" i="10"/>
  <c r="I32" i="10"/>
  <c r="H31" i="10"/>
  <c r="H33" i="10" s="1"/>
  <c r="L18" i="10"/>
  <c r="L23" i="10" s="1"/>
  <c r="L24" i="10" s="1"/>
  <c r="L138" i="10" s="1"/>
  <c r="L29" i="10"/>
  <c r="M14" i="10"/>
  <c r="J41" i="10"/>
  <c r="I40" i="10"/>
  <c r="I42" i="10" s="1"/>
  <c r="E33" i="10"/>
  <c r="I33" i="10"/>
  <c r="D42" i="10"/>
  <c r="D32" i="10"/>
  <c r="C31" i="10"/>
  <c r="C33" i="10" s="1"/>
  <c r="E129" i="10"/>
  <c r="E131" i="10" s="1"/>
  <c r="E74" i="10"/>
  <c r="H42" i="10"/>
  <c r="F76" i="10"/>
  <c r="F83" i="10"/>
  <c r="F97" i="10"/>
  <c r="F90" i="10"/>
  <c r="B33" i="10"/>
  <c r="B23" i="10"/>
  <c r="B24" i="10" s="1"/>
  <c r="M40" i="10"/>
  <c r="L39" i="10"/>
  <c r="M41" i="10" s="1"/>
  <c r="D31" i="10"/>
  <c r="G121" i="10"/>
  <c r="G123" i="10" s="1"/>
  <c r="G47" i="10"/>
  <c r="G49" i="10" s="1"/>
  <c r="F121" i="10"/>
  <c r="F123" i="10" s="1"/>
  <c r="F47" i="10"/>
  <c r="F49" i="10" s="1"/>
  <c r="C40" i="10"/>
  <c r="B39" i="10"/>
  <c r="J30" i="10"/>
  <c r="K39" i="10"/>
  <c r="J40" i="10"/>
  <c r="K26" i="9"/>
  <c r="D38" i="9"/>
  <c r="D39" i="9" s="1"/>
  <c r="C37" i="9"/>
  <c r="C39" i="9" s="1"/>
  <c r="M25" i="9"/>
  <c r="L26" i="9" s="1"/>
  <c r="M26" i="9" s="1"/>
  <c r="G11" i="9"/>
  <c r="G12" i="9" s="1"/>
  <c r="G18" i="9" s="1"/>
  <c r="G19" i="9" s="1"/>
  <c r="G124" i="9" s="1"/>
  <c r="E12" i="9"/>
  <c r="E18" i="9" s="1"/>
  <c r="E19" i="9" s="1"/>
  <c r="E124" i="9" s="1"/>
  <c r="B25" i="9"/>
  <c r="B12" i="9"/>
  <c r="B37" i="9"/>
  <c r="B39" i="9" s="1"/>
  <c r="D25" i="9"/>
  <c r="C28" i="9"/>
  <c r="D33" i="10" l="1"/>
  <c r="B138" i="10"/>
  <c r="B139" i="10" s="1"/>
  <c r="I29" i="9"/>
  <c r="I47" i="9" s="1"/>
  <c r="I49" i="9" s="1"/>
  <c r="H50" i="9" s="1"/>
  <c r="F51" i="9"/>
  <c r="F53" i="9" s="1"/>
  <c r="F63" i="9" s="1"/>
  <c r="G63" i="9" s="1"/>
  <c r="H47" i="9"/>
  <c r="H49" i="9" s="1"/>
  <c r="G50" i="9" s="1"/>
  <c r="H104" i="9"/>
  <c r="H106" i="9" s="1"/>
  <c r="E51" i="9"/>
  <c r="E53" i="9" s="1"/>
  <c r="E62" i="9" s="1"/>
  <c r="J27" i="9"/>
  <c r="J29" i="9" s="1"/>
  <c r="G36" i="9"/>
  <c r="F113" i="9"/>
  <c r="F115" i="9" s="1"/>
  <c r="F116" i="9" s="1"/>
  <c r="I35" i="9"/>
  <c r="I12" i="9"/>
  <c r="I18" i="9" s="1"/>
  <c r="I19" i="9" s="1"/>
  <c r="I124" i="9" s="1"/>
  <c r="D113" i="9"/>
  <c r="D115" i="9" s="1"/>
  <c r="D116" i="9" s="1"/>
  <c r="C113" i="9"/>
  <c r="C115" i="9" s="1"/>
  <c r="C116" i="9" s="1"/>
  <c r="B113" i="9"/>
  <c r="B115" i="9" s="1"/>
  <c r="B116" i="9" s="1"/>
  <c r="K32" i="10"/>
  <c r="J31" i="10"/>
  <c r="J33" i="10" s="1"/>
  <c r="E50" i="10"/>
  <c r="F52" i="10" s="1"/>
  <c r="D121" i="10"/>
  <c r="D123" i="10" s="1"/>
  <c r="D47" i="10"/>
  <c r="D49" i="10" s="1"/>
  <c r="E98" i="10"/>
  <c r="E90" i="10"/>
  <c r="E83" i="10"/>
  <c r="E97" i="10"/>
  <c r="E76" i="10"/>
  <c r="D129" i="10"/>
  <c r="D131" i="10" s="1"/>
  <c r="D74" i="10"/>
  <c r="H121" i="10"/>
  <c r="H123" i="10" s="1"/>
  <c r="H47" i="10"/>
  <c r="H49" i="10" s="1"/>
  <c r="J42" i="10"/>
  <c r="E84" i="10"/>
  <c r="F86" i="10" s="1"/>
  <c r="I121" i="10"/>
  <c r="I123" i="10" s="1"/>
  <c r="I47" i="10"/>
  <c r="I49" i="10" s="1"/>
  <c r="M18" i="10"/>
  <c r="M29" i="10"/>
  <c r="L41" i="10"/>
  <c r="K40" i="10"/>
  <c r="K42" i="10" s="1"/>
  <c r="C41" i="10"/>
  <c r="C42" i="10" s="1"/>
  <c r="B40" i="10"/>
  <c r="B42" i="10" s="1"/>
  <c r="F50" i="10"/>
  <c r="G52" i="10" s="1"/>
  <c r="M42" i="10"/>
  <c r="B121" i="10"/>
  <c r="B123" i="10" s="1"/>
  <c r="B47" i="10"/>
  <c r="B49" i="10" s="1"/>
  <c r="E77" i="10"/>
  <c r="F79" i="10" s="1"/>
  <c r="C121" i="10"/>
  <c r="C123" i="10" s="1"/>
  <c r="C47" i="10"/>
  <c r="C49" i="10" s="1"/>
  <c r="E121" i="10"/>
  <c r="E123" i="10" s="1"/>
  <c r="E47" i="10"/>
  <c r="E49" i="10" s="1"/>
  <c r="K30" i="10"/>
  <c r="N29" i="10"/>
  <c r="G97" i="10"/>
  <c r="G83" i="10"/>
  <c r="G90" i="10"/>
  <c r="G76" i="10"/>
  <c r="L40" i="10"/>
  <c r="E91" i="10"/>
  <c r="F93" i="10" s="1"/>
  <c r="H129" i="10"/>
  <c r="H131" i="10" s="1"/>
  <c r="H74" i="10"/>
  <c r="I74" i="10"/>
  <c r="I129" i="10"/>
  <c r="I131" i="10" s="1"/>
  <c r="N25" i="9"/>
  <c r="M27" i="9"/>
  <c r="B18" i="9"/>
  <c r="B19" i="9" s="1"/>
  <c r="B125" i="9" s="1"/>
  <c r="L28" i="9"/>
  <c r="K27" i="9"/>
  <c r="K29" i="9" s="1"/>
  <c r="C26" i="9"/>
  <c r="B27" i="9"/>
  <c r="F51" i="10" l="1"/>
  <c r="F53" i="10" s="1"/>
  <c r="F54" i="10" s="1"/>
  <c r="F63" i="10" s="1"/>
  <c r="G63" i="10" s="1"/>
  <c r="I104" i="9"/>
  <c r="I106" i="9" s="1"/>
  <c r="F62" i="9"/>
  <c r="F71" i="9" s="1"/>
  <c r="F129" i="9" s="1"/>
  <c r="G51" i="9"/>
  <c r="G53" i="9" s="1"/>
  <c r="G64" i="9" s="1"/>
  <c r="G71" i="9" s="1"/>
  <c r="G129" i="9" s="1"/>
  <c r="H52" i="9"/>
  <c r="K47" i="9"/>
  <c r="K49" i="9" s="1"/>
  <c r="J50" i="9" s="1"/>
  <c r="K104" i="9"/>
  <c r="K106" i="9" s="1"/>
  <c r="J47" i="9"/>
  <c r="J49" i="9" s="1"/>
  <c r="I50" i="9" s="1"/>
  <c r="J104" i="9"/>
  <c r="J106" i="9" s="1"/>
  <c r="H38" i="9"/>
  <c r="G37" i="9"/>
  <c r="G39" i="9" s="1"/>
  <c r="H36" i="9"/>
  <c r="K9" i="9"/>
  <c r="J35" i="9"/>
  <c r="J12" i="9"/>
  <c r="C129" i="10"/>
  <c r="C131" i="10" s="1"/>
  <c r="C74" i="10"/>
  <c r="F77" i="10"/>
  <c r="M129" i="10"/>
  <c r="M131" i="10" s="1"/>
  <c r="M74" i="10"/>
  <c r="M23" i="10"/>
  <c r="M24" i="10" s="1"/>
  <c r="M138" i="10" s="1"/>
  <c r="N18" i="10"/>
  <c r="N23" i="10" s="1"/>
  <c r="N24" i="10" s="1"/>
  <c r="D98" i="10"/>
  <c r="E99" i="10"/>
  <c r="I97" i="10"/>
  <c r="I90" i="10"/>
  <c r="I83" i="10"/>
  <c r="I76" i="10"/>
  <c r="F91" i="10"/>
  <c r="L32" i="10"/>
  <c r="K31" i="10"/>
  <c r="B50" i="10"/>
  <c r="C52" i="10" s="1"/>
  <c r="K129" i="10"/>
  <c r="K131" i="10" s="1"/>
  <c r="K74" i="10"/>
  <c r="H50" i="10"/>
  <c r="I52" i="10" s="1"/>
  <c r="D97" i="10"/>
  <c r="D76" i="10"/>
  <c r="D90" i="10"/>
  <c r="D83" i="10"/>
  <c r="E85" i="10"/>
  <c r="D84" i="10"/>
  <c r="E86" i="10" s="1"/>
  <c r="H97" i="10"/>
  <c r="H90" i="10"/>
  <c r="H83" i="10"/>
  <c r="H76" i="10"/>
  <c r="F84" i="10"/>
  <c r="J129" i="10"/>
  <c r="J131" i="10" s="1"/>
  <c r="J74" i="10"/>
  <c r="E92" i="10"/>
  <c r="D91" i="10"/>
  <c r="E93" i="10" s="1"/>
  <c r="C50" i="10"/>
  <c r="D52" i="10" s="1"/>
  <c r="J121" i="10"/>
  <c r="J123" i="10" s="1"/>
  <c r="J47" i="10"/>
  <c r="J49" i="10" s="1"/>
  <c r="L42" i="10"/>
  <c r="F98" i="10"/>
  <c r="F99" i="10" s="1"/>
  <c r="F100" i="10" s="1"/>
  <c r="F101" i="10" s="1"/>
  <c r="F102" i="10" s="1"/>
  <c r="E51" i="10"/>
  <c r="D50" i="10"/>
  <c r="E52" i="10" s="1"/>
  <c r="B129" i="10"/>
  <c r="B131" i="10" s="1"/>
  <c r="B74" i="10"/>
  <c r="M31" i="10"/>
  <c r="L30" i="10"/>
  <c r="G50" i="10"/>
  <c r="E78" i="10"/>
  <c r="D77" i="10"/>
  <c r="E79" i="10" s="1"/>
  <c r="I52" i="9"/>
  <c r="H51" i="9"/>
  <c r="M28" i="9"/>
  <c r="M29" i="9" s="1"/>
  <c r="L27" i="9"/>
  <c r="L29" i="9" s="1"/>
  <c r="B29" i="9"/>
  <c r="B104" i="9" s="1"/>
  <c r="B106" i="9" s="1"/>
  <c r="D27" i="9"/>
  <c r="D28" i="9"/>
  <c r="C27" i="9"/>
  <c r="C29" i="9" s="1"/>
  <c r="E100" i="10" l="1"/>
  <c r="E101" i="10" s="1"/>
  <c r="E102" i="10" s="1"/>
  <c r="E80" i="10"/>
  <c r="E81" i="10" s="1"/>
  <c r="E87" i="10"/>
  <c r="E88" i="10" s="1"/>
  <c r="B51" i="10"/>
  <c r="B53" i="10" s="1"/>
  <c r="B54" i="10" s="1"/>
  <c r="B59" i="10" s="1"/>
  <c r="H53" i="9"/>
  <c r="H65" i="9" s="1"/>
  <c r="I65" i="9" s="1"/>
  <c r="H64" i="9"/>
  <c r="L47" i="9"/>
  <c r="L49" i="9" s="1"/>
  <c r="K50" i="9" s="1"/>
  <c r="L104" i="9"/>
  <c r="L106" i="9" s="1"/>
  <c r="J52" i="9"/>
  <c r="I51" i="9"/>
  <c r="I53" i="9" s="1"/>
  <c r="I66" i="9" s="1"/>
  <c r="M47" i="9"/>
  <c r="M49" i="9" s="1"/>
  <c r="M104" i="9"/>
  <c r="M106" i="9" s="1"/>
  <c r="J18" i="9"/>
  <c r="J19" i="9" s="1"/>
  <c r="J124" i="9" s="1"/>
  <c r="I38" i="9"/>
  <c r="H37" i="9"/>
  <c r="H39" i="9" s="1"/>
  <c r="I36" i="9"/>
  <c r="G113" i="9"/>
  <c r="G115" i="9" s="1"/>
  <c r="G116" i="9" s="1"/>
  <c r="L9" i="9"/>
  <c r="M9" i="9" s="1"/>
  <c r="K35" i="9"/>
  <c r="K12" i="9"/>
  <c r="K18" i="9" s="1"/>
  <c r="K19" i="9" s="1"/>
  <c r="K124" i="9" s="1"/>
  <c r="C47" i="9"/>
  <c r="C49" i="9" s="1"/>
  <c r="B50" i="9" s="1"/>
  <c r="C52" i="9" s="1"/>
  <c r="C104" i="9"/>
  <c r="C106" i="9" s="1"/>
  <c r="L129" i="10"/>
  <c r="L131" i="10" s="1"/>
  <c r="B132" i="10" s="1" a="1"/>
  <c r="L74" i="10"/>
  <c r="G84" i="10"/>
  <c r="D99" i="10"/>
  <c r="C98" i="10"/>
  <c r="K33" i="10"/>
  <c r="B97" i="10"/>
  <c r="B83" i="10"/>
  <c r="B76" i="10"/>
  <c r="B90" i="10"/>
  <c r="N63" i="10"/>
  <c r="M97" i="10"/>
  <c r="M90" i="10"/>
  <c r="M83" i="10"/>
  <c r="M76" i="10"/>
  <c r="C97" i="10"/>
  <c r="C90" i="10"/>
  <c r="C83" i="10"/>
  <c r="C76" i="10"/>
  <c r="D51" i="10"/>
  <c r="D53" i="10" s="1"/>
  <c r="D54" i="10" s="1"/>
  <c r="D61" i="10" s="1"/>
  <c r="H77" i="10"/>
  <c r="I79" i="10" s="1"/>
  <c r="G79" i="10"/>
  <c r="F78" i="10"/>
  <c r="F80" i="10" s="1"/>
  <c r="F81" i="10" s="1"/>
  <c r="H52" i="10"/>
  <c r="G51" i="10"/>
  <c r="G53" i="10" s="1"/>
  <c r="G54" i="10" s="1"/>
  <c r="G64" i="10" s="1"/>
  <c r="G71" i="10" s="1"/>
  <c r="G143" i="10" s="1"/>
  <c r="E53" i="10"/>
  <c r="E54" i="10" s="1"/>
  <c r="E62" i="10" s="1"/>
  <c r="I50" i="10"/>
  <c r="G91" i="10"/>
  <c r="D85" i="10"/>
  <c r="C84" i="10"/>
  <c r="D86" i="10" s="1"/>
  <c r="B71" i="10"/>
  <c r="C59" i="10"/>
  <c r="H84" i="10"/>
  <c r="I86" i="10" s="1"/>
  <c r="H51" i="10"/>
  <c r="E94" i="10"/>
  <c r="E95" i="10" s="1"/>
  <c r="G86" i="10"/>
  <c r="F85" i="10"/>
  <c r="F87" i="10" s="1"/>
  <c r="F88" i="10" s="1"/>
  <c r="G98" i="10"/>
  <c r="G99" i="10" s="1"/>
  <c r="G100" i="10" s="1"/>
  <c r="G101" i="10" s="1"/>
  <c r="G102" i="10" s="1"/>
  <c r="D92" i="10"/>
  <c r="C91" i="10"/>
  <c r="D93" i="10" s="1"/>
  <c r="H91" i="10"/>
  <c r="I93" i="10" s="1"/>
  <c r="M32" i="10"/>
  <c r="M33" i="10" s="1"/>
  <c r="L31" i="10"/>
  <c r="L33" i="10" s="1"/>
  <c r="J76" i="10"/>
  <c r="J97" i="10"/>
  <c r="J90" i="10"/>
  <c r="J83" i="10"/>
  <c r="G77" i="10"/>
  <c r="C77" i="10"/>
  <c r="D79" i="10" s="1"/>
  <c r="D78" i="10"/>
  <c r="K97" i="10"/>
  <c r="K83" i="10"/>
  <c r="K76" i="10"/>
  <c r="K90" i="10"/>
  <c r="C51" i="10"/>
  <c r="C53" i="10" s="1"/>
  <c r="C54" i="10" s="1"/>
  <c r="C60" i="10" s="1"/>
  <c r="G93" i="10"/>
  <c r="F92" i="10"/>
  <c r="F94" i="10" s="1"/>
  <c r="F95" i="10" s="1"/>
  <c r="H98" i="10"/>
  <c r="H99" i="10" s="1"/>
  <c r="J51" i="9"/>
  <c r="K52" i="9"/>
  <c r="N27" i="9"/>
  <c r="D29" i="9"/>
  <c r="D104" i="9" s="1"/>
  <c r="D106" i="9" s="1"/>
  <c r="B47" i="9"/>
  <c r="E103" i="10" l="1"/>
  <c r="E109" i="10" s="1"/>
  <c r="F109" i="10" s="1"/>
  <c r="N109" i="10" s="1"/>
  <c r="D94" i="10"/>
  <c r="D95" i="10" s="1"/>
  <c r="H71" i="9"/>
  <c r="H129" i="9" s="1"/>
  <c r="J66" i="9"/>
  <c r="I71" i="9"/>
  <c r="I129" i="9" s="1"/>
  <c r="J53" i="9"/>
  <c r="J67" i="9" s="1"/>
  <c r="H113" i="9"/>
  <c r="H115" i="9" s="1"/>
  <c r="H116" i="9" s="1"/>
  <c r="J36" i="9"/>
  <c r="J38" i="9"/>
  <c r="I37" i="9"/>
  <c r="I39" i="9" s="1"/>
  <c r="L12" i="9"/>
  <c r="L35" i="9"/>
  <c r="B107" i="9" a="1"/>
  <c r="B107" i="9" s="1"/>
  <c r="B109" i="9" s="1"/>
  <c r="B127" i="9" s="1"/>
  <c r="M121" i="10"/>
  <c r="M123" i="10" s="1"/>
  <c r="M47" i="10"/>
  <c r="M49" i="10" s="1"/>
  <c r="J134" i="10"/>
  <c r="J142" i="10" s="1"/>
  <c r="F134" i="10"/>
  <c r="F142" i="10" s="1"/>
  <c r="M134" i="10"/>
  <c r="M142" i="10" s="1"/>
  <c r="I134" i="10"/>
  <c r="I142" i="10" s="1"/>
  <c r="E134" i="10"/>
  <c r="E142" i="10" s="1"/>
  <c r="B132" i="10"/>
  <c r="B134" i="10" s="1"/>
  <c r="K134" i="10"/>
  <c r="K142" i="10" s="1"/>
  <c r="C134" i="10"/>
  <c r="C142" i="10" s="1"/>
  <c r="H134" i="10"/>
  <c r="H142" i="10" s="1"/>
  <c r="L134" i="10"/>
  <c r="L142" i="10" s="1"/>
  <c r="G134" i="10"/>
  <c r="G142" i="10" s="1"/>
  <c r="D134" i="10"/>
  <c r="D142" i="10" s="1"/>
  <c r="J77" i="10"/>
  <c r="K79" i="10" s="1"/>
  <c r="B143" i="10"/>
  <c r="H93" i="10"/>
  <c r="G92" i="10"/>
  <c r="G94" i="10" s="1"/>
  <c r="G95" i="10" s="1"/>
  <c r="M78" i="10"/>
  <c r="L77" i="10"/>
  <c r="M79" i="10" s="1"/>
  <c r="L83" i="10"/>
  <c r="L97" i="10"/>
  <c r="L90" i="10"/>
  <c r="L76" i="10"/>
  <c r="I98" i="10"/>
  <c r="I99" i="10" s="1"/>
  <c r="I100" i="10" s="1"/>
  <c r="I101" i="10" s="1"/>
  <c r="I102" i="10" s="1"/>
  <c r="C85" i="10"/>
  <c r="B84" i="10"/>
  <c r="C86" i="10" s="1"/>
  <c r="M85" i="10"/>
  <c r="L84" i="10"/>
  <c r="M86" i="10" s="1"/>
  <c r="D100" i="10"/>
  <c r="D101" i="10" s="1"/>
  <c r="D102" i="10" s="1"/>
  <c r="D60" i="10"/>
  <c r="D71" i="10" s="1"/>
  <c r="D143" i="10" s="1"/>
  <c r="J98" i="10"/>
  <c r="J99" i="10" s="1"/>
  <c r="H78" i="10"/>
  <c r="I77" i="10"/>
  <c r="H100" i="10"/>
  <c r="H101" i="10" s="1"/>
  <c r="H102" i="10" s="1"/>
  <c r="C71" i="10"/>
  <c r="C143" i="10" s="1"/>
  <c r="D87" i="10"/>
  <c r="D88" i="10" s="1"/>
  <c r="J52" i="10"/>
  <c r="I51" i="10"/>
  <c r="I53" i="10" s="1"/>
  <c r="I54" i="10" s="1"/>
  <c r="I66" i="10" s="1"/>
  <c r="F103" i="10"/>
  <c r="F110" i="10" s="1"/>
  <c r="E61" i="10"/>
  <c r="E71" i="10" s="1"/>
  <c r="E143" i="10" s="1"/>
  <c r="B91" i="10"/>
  <c r="C93" i="10" s="1"/>
  <c r="C92" i="10"/>
  <c r="M92" i="10"/>
  <c r="L91" i="10"/>
  <c r="M93" i="10" s="1"/>
  <c r="N31" i="10"/>
  <c r="H85" i="10"/>
  <c r="I91" i="10"/>
  <c r="H64" i="10"/>
  <c r="C78" i="10"/>
  <c r="B77" i="10"/>
  <c r="C79" i="10" s="1"/>
  <c r="J84" i="10"/>
  <c r="K86" i="10" s="1"/>
  <c r="H79" i="10"/>
  <c r="G78" i="10"/>
  <c r="G80" i="10" s="1"/>
  <c r="G81" i="10" s="1"/>
  <c r="J91" i="10"/>
  <c r="K93" i="10" s="1"/>
  <c r="D80" i="10"/>
  <c r="D81" i="10" s="1"/>
  <c r="I84" i="10"/>
  <c r="L121" i="10"/>
  <c r="L123" i="10" s="1"/>
  <c r="L47" i="10"/>
  <c r="L49" i="10" s="1"/>
  <c r="H53" i="10"/>
  <c r="H54" i="10" s="1"/>
  <c r="H65" i="10" s="1"/>
  <c r="N59" i="10"/>
  <c r="H92" i="10"/>
  <c r="F62" i="10"/>
  <c r="F71" i="10" s="1"/>
  <c r="F143" i="10" s="1"/>
  <c r="B98" i="10"/>
  <c r="B99" i="10" s="1"/>
  <c r="B101" i="10" s="1"/>
  <c r="B102" i="10" s="1"/>
  <c r="C99" i="10"/>
  <c r="M99" i="10"/>
  <c r="L98" i="10"/>
  <c r="K121" i="10"/>
  <c r="K123" i="10" s="1"/>
  <c r="K47" i="10"/>
  <c r="K49" i="10" s="1"/>
  <c r="N33" i="10"/>
  <c r="H86" i="10"/>
  <c r="G85" i="10"/>
  <c r="G87" i="10" s="1"/>
  <c r="G88" i="10" s="1"/>
  <c r="B99" i="9"/>
  <c r="B130" i="9" s="1"/>
  <c r="M51" i="9"/>
  <c r="L50" i="9"/>
  <c r="M52" i="9" s="1"/>
  <c r="D47" i="9"/>
  <c r="K51" i="9"/>
  <c r="K53" i="9" s="1"/>
  <c r="K68" i="9" s="1"/>
  <c r="L52" i="9"/>
  <c r="N29" i="9"/>
  <c r="B49" i="9"/>
  <c r="B51" i="9" s="1"/>
  <c r="B53" i="9" s="1"/>
  <c r="B59" i="9" s="1"/>
  <c r="G103" i="10" l="1"/>
  <c r="G111" i="10" s="1"/>
  <c r="H111" i="10" s="1"/>
  <c r="N111" i="10" s="1"/>
  <c r="J78" i="10"/>
  <c r="H80" i="10"/>
  <c r="H81" i="10" s="1"/>
  <c r="B92" i="10"/>
  <c r="B94" i="10" s="1"/>
  <c r="B95" i="10" s="1"/>
  <c r="C94" i="10"/>
  <c r="C95" i="10" s="1"/>
  <c r="J100" i="10"/>
  <c r="J101" i="10" s="1"/>
  <c r="J102" i="10" s="1"/>
  <c r="M87" i="10"/>
  <c r="M88" i="10" s="1"/>
  <c r="J92" i="10"/>
  <c r="M94" i="10"/>
  <c r="M95" i="10" s="1"/>
  <c r="B124" i="10" a="1"/>
  <c r="B124" i="10" s="1"/>
  <c r="B126" i="10" s="1"/>
  <c r="J85" i="10"/>
  <c r="D103" i="10"/>
  <c r="D108" i="10" s="1"/>
  <c r="E108" i="10" s="1"/>
  <c r="E118" i="10" s="1"/>
  <c r="E144" i="10" s="1"/>
  <c r="N61" i="10"/>
  <c r="C109" i="9"/>
  <c r="C127" i="9" s="1"/>
  <c r="J71" i="9"/>
  <c r="J129" i="9" s="1"/>
  <c r="L68" i="9"/>
  <c r="K109" i="9"/>
  <c r="K127" i="9" s="1"/>
  <c r="D109" i="9"/>
  <c r="D127" i="9" s="1"/>
  <c r="E109" i="9"/>
  <c r="E127" i="9" s="1"/>
  <c r="G109" i="9"/>
  <c r="G127" i="9" s="1"/>
  <c r="K67" i="9"/>
  <c r="K71" i="9" s="1"/>
  <c r="K129" i="9" s="1"/>
  <c r="F90" i="9"/>
  <c r="M35" i="9"/>
  <c r="M12" i="9"/>
  <c r="M18" i="9" s="1"/>
  <c r="M19" i="9" s="1"/>
  <c r="M124" i="9" s="1"/>
  <c r="K38" i="9"/>
  <c r="J37" i="9"/>
  <c r="J39" i="9" s="1"/>
  <c r="I113" i="9"/>
  <c r="I115" i="9" s="1"/>
  <c r="I116" i="9" s="1"/>
  <c r="K36" i="9"/>
  <c r="L18" i="9"/>
  <c r="L19" i="9" s="1"/>
  <c r="L124" i="9" s="1"/>
  <c r="I109" i="9"/>
  <c r="I127" i="9" s="1"/>
  <c r="H109" i="9"/>
  <c r="H127" i="9" s="1"/>
  <c r="J109" i="9"/>
  <c r="J127" i="9" s="1"/>
  <c r="F109" i="9"/>
  <c r="F127" i="9" s="1"/>
  <c r="L109" i="9"/>
  <c r="L127" i="9" s="1"/>
  <c r="M109" i="9"/>
  <c r="M127" i="9" s="1"/>
  <c r="C87" i="9"/>
  <c r="C99" i="9" s="1"/>
  <c r="C130" i="9" s="1"/>
  <c r="B71" i="9"/>
  <c r="C59" i="9"/>
  <c r="I65" i="10"/>
  <c r="I71" i="10" s="1"/>
  <c r="I143" i="10" s="1"/>
  <c r="H71" i="10"/>
  <c r="H143" i="10" s="1"/>
  <c r="G110" i="10"/>
  <c r="G118" i="10" s="1"/>
  <c r="G144" i="10" s="1"/>
  <c r="L78" i="10"/>
  <c r="K77" i="10"/>
  <c r="J50" i="10"/>
  <c r="N62" i="10"/>
  <c r="J66" i="10"/>
  <c r="K91" i="10"/>
  <c r="L92" i="10"/>
  <c r="C100" i="10"/>
  <c r="C101" i="10" s="1"/>
  <c r="C102" i="10" s="1"/>
  <c r="H94" i="10"/>
  <c r="H95" i="10" s="1"/>
  <c r="C80" i="10"/>
  <c r="C81" i="10" s="1"/>
  <c r="J93" i="10"/>
  <c r="I92" i="10"/>
  <c r="I94" i="10" s="1"/>
  <c r="I95" i="10" s="1"/>
  <c r="J79" i="10"/>
  <c r="I78" i="10"/>
  <c r="I80" i="10" s="1"/>
  <c r="I81" i="10" s="1"/>
  <c r="L99" i="10"/>
  <c r="K98" i="10"/>
  <c r="K99" i="10" s="1"/>
  <c r="K100" i="10" s="1"/>
  <c r="K101" i="10" s="1"/>
  <c r="K102" i="10" s="1"/>
  <c r="M80" i="10"/>
  <c r="M81" i="10" s="1"/>
  <c r="M100" i="10"/>
  <c r="M101" i="10" s="1"/>
  <c r="M102" i="10" s="1"/>
  <c r="K50" i="10"/>
  <c r="L52" i="10" s="1"/>
  <c r="B78" i="10"/>
  <c r="B80" i="10" s="1"/>
  <c r="B81" i="10" s="1"/>
  <c r="C87" i="10"/>
  <c r="C88" i="10" s="1"/>
  <c r="M51" i="10"/>
  <c r="L50" i="10"/>
  <c r="M52" i="10" s="1"/>
  <c r="B85" i="10"/>
  <c r="B87" i="10" s="1"/>
  <c r="B88" i="10" s="1"/>
  <c r="J86" i="10"/>
  <c r="I85" i="10"/>
  <c r="I87" i="10" s="1"/>
  <c r="I88" i="10" s="1"/>
  <c r="N64" i="10"/>
  <c r="H87" i="10"/>
  <c r="H88" i="10" s="1"/>
  <c r="N60" i="10"/>
  <c r="K84" i="10"/>
  <c r="L85" i="10"/>
  <c r="B142" i="10"/>
  <c r="N134" i="10"/>
  <c r="F118" i="10"/>
  <c r="F144" i="10" s="1"/>
  <c r="D88" i="9"/>
  <c r="D99" i="9" s="1"/>
  <c r="D130" i="9" s="1"/>
  <c r="E89" i="9"/>
  <c r="E99" i="9" s="1"/>
  <c r="E130" i="9" s="1"/>
  <c r="L51" i="9"/>
  <c r="L53" i="9" s="1"/>
  <c r="L69" i="9" s="1"/>
  <c r="D49" i="9"/>
  <c r="M103" i="10" l="1"/>
  <c r="M117" i="10" s="1"/>
  <c r="N117" i="10" s="1"/>
  <c r="J80" i="10"/>
  <c r="J81" i="10" s="1"/>
  <c r="J87" i="10"/>
  <c r="J88" i="10" s="1"/>
  <c r="J94" i="10"/>
  <c r="J95" i="10" s="1"/>
  <c r="C126" i="10"/>
  <c r="C141" i="10" s="1"/>
  <c r="G126" i="10"/>
  <c r="G141" i="10" s="1"/>
  <c r="E126" i="10"/>
  <c r="E141" i="10" s="1"/>
  <c r="K126" i="10"/>
  <c r="K141" i="10" s="1"/>
  <c r="H126" i="10"/>
  <c r="H141" i="10" s="1"/>
  <c r="M126" i="10"/>
  <c r="M141" i="10" s="1"/>
  <c r="L126" i="10"/>
  <c r="L141" i="10" s="1"/>
  <c r="D126" i="10"/>
  <c r="D141" i="10" s="1"/>
  <c r="I126" i="10"/>
  <c r="I141" i="10" s="1"/>
  <c r="F126" i="10"/>
  <c r="F141" i="10" s="1"/>
  <c r="J126" i="10"/>
  <c r="J141" i="10" s="1"/>
  <c r="N110" i="10"/>
  <c r="L71" i="9"/>
  <c r="L129" i="9" s="1"/>
  <c r="M69" i="9"/>
  <c r="M71" i="9" s="1"/>
  <c r="M129" i="9" s="1"/>
  <c r="N109" i="9"/>
  <c r="N12" i="9"/>
  <c r="N18" i="9" s="1"/>
  <c r="N19" i="9" s="1"/>
  <c r="J113" i="9"/>
  <c r="J115" i="9" s="1"/>
  <c r="J116" i="9" s="1"/>
  <c r="L36" i="9"/>
  <c r="M37" i="9"/>
  <c r="L38" i="9"/>
  <c r="K37" i="9"/>
  <c r="K39" i="9" s="1"/>
  <c r="N90" i="9"/>
  <c r="N87" i="9"/>
  <c r="B129" i="9"/>
  <c r="L79" i="10"/>
  <c r="L80" i="10" s="1"/>
  <c r="L81" i="10" s="1"/>
  <c r="K78" i="10"/>
  <c r="K80" i="10" s="1"/>
  <c r="K81" i="10" s="1"/>
  <c r="K52" i="10"/>
  <c r="J51" i="10"/>
  <c r="J53" i="10" s="1"/>
  <c r="J54" i="10" s="1"/>
  <c r="J67" i="10" s="1"/>
  <c r="L86" i="10"/>
  <c r="L87" i="10" s="1"/>
  <c r="L88" i="10" s="1"/>
  <c r="N88" i="10" s="1"/>
  <c r="K85" i="10"/>
  <c r="K87" i="10" s="1"/>
  <c r="K88" i="10" s="1"/>
  <c r="B103" i="10"/>
  <c r="B106" i="10" s="1"/>
  <c r="L51" i="10"/>
  <c r="L53" i="10" s="1"/>
  <c r="L54" i="10" s="1"/>
  <c r="L69" i="10" s="1"/>
  <c r="N66" i="10"/>
  <c r="N108" i="10"/>
  <c r="L100" i="10"/>
  <c r="L101" i="10" s="1"/>
  <c r="L102" i="10" s="1"/>
  <c r="N102" i="10" s="1"/>
  <c r="B141" i="10"/>
  <c r="H103" i="10"/>
  <c r="H112" i="10" s="1"/>
  <c r="I103" i="10"/>
  <c r="I113" i="10" s="1"/>
  <c r="C103" i="10"/>
  <c r="C107" i="10" s="1"/>
  <c r="L93" i="10"/>
  <c r="L94" i="10" s="1"/>
  <c r="L95" i="10" s="1"/>
  <c r="K92" i="10"/>
  <c r="K94" i="10" s="1"/>
  <c r="K95" i="10" s="1"/>
  <c r="K51" i="10"/>
  <c r="N65" i="10"/>
  <c r="N89" i="9"/>
  <c r="N88" i="9"/>
  <c r="D51" i="9"/>
  <c r="C50" i="9"/>
  <c r="C51" i="9" s="1"/>
  <c r="C53" i="9" s="1"/>
  <c r="C60" i="9" s="1"/>
  <c r="J103" i="10" l="1"/>
  <c r="J114" i="10" s="1"/>
  <c r="K114" i="10" s="1"/>
  <c r="N114" i="10" s="1"/>
  <c r="K103" i="10"/>
  <c r="K115" i="10" s="1"/>
  <c r="N126" i="10"/>
  <c r="N81" i="10"/>
  <c r="N95" i="10"/>
  <c r="K53" i="10"/>
  <c r="K54" i="10" s="1"/>
  <c r="K68" i="10" s="1"/>
  <c r="L68" i="10" s="1"/>
  <c r="L71" i="10" s="1"/>
  <c r="L143" i="10" s="1"/>
  <c r="G91" i="9"/>
  <c r="N91" i="9" s="1"/>
  <c r="M38" i="9"/>
  <c r="M39" i="9" s="1"/>
  <c r="L37" i="9"/>
  <c r="L39" i="9" s="1"/>
  <c r="K113" i="9"/>
  <c r="K115" i="9" s="1"/>
  <c r="K116" i="9" s="1"/>
  <c r="D60" i="9"/>
  <c r="C71" i="9"/>
  <c r="K67" i="10"/>
  <c r="M69" i="10"/>
  <c r="M71" i="10" s="1"/>
  <c r="M143" i="10" s="1"/>
  <c r="D107" i="10"/>
  <c r="D118" i="10" s="1"/>
  <c r="D144" i="10" s="1"/>
  <c r="I112" i="10"/>
  <c r="I118" i="10" s="1"/>
  <c r="I144" i="10" s="1"/>
  <c r="L103" i="10"/>
  <c r="L116" i="10" s="1"/>
  <c r="H118" i="10"/>
  <c r="H144" i="10" s="1"/>
  <c r="J113" i="10"/>
  <c r="C106" i="10"/>
  <c r="C118" i="10" s="1"/>
  <c r="C144" i="10" s="1"/>
  <c r="B118" i="10"/>
  <c r="L115" i="10"/>
  <c r="J71" i="10"/>
  <c r="D52" i="9"/>
  <c r="D53" i="9" s="1"/>
  <c r="D61" i="9" s="1"/>
  <c r="K118" i="10" l="1"/>
  <c r="K144" i="10" s="1"/>
  <c r="J118" i="10"/>
  <c r="J144" i="10" s="1"/>
  <c r="N103" i="10"/>
  <c r="K71" i="10"/>
  <c r="K143" i="10" s="1"/>
  <c r="L118" i="10"/>
  <c r="L144" i="10" s="1"/>
  <c r="N67" i="10"/>
  <c r="F99" i="9"/>
  <c r="F130" i="9" s="1"/>
  <c r="M113" i="9"/>
  <c r="M115" i="9" s="1"/>
  <c r="M116" i="9" s="1"/>
  <c r="L113" i="9"/>
  <c r="L115" i="9" s="1"/>
  <c r="L116" i="9" s="1"/>
  <c r="E61" i="9"/>
  <c r="E71" i="9" s="1"/>
  <c r="E129" i="9" s="1"/>
  <c r="D71" i="9"/>
  <c r="D129" i="9" s="1"/>
  <c r="C129" i="9"/>
  <c r="N107" i="10"/>
  <c r="N69" i="10"/>
  <c r="M116" i="10"/>
  <c r="M118" i="10" s="1"/>
  <c r="M144" i="10" s="1"/>
  <c r="N115" i="10"/>
  <c r="J143" i="10"/>
  <c r="N106" i="10"/>
  <c r="N113" i="10"/>
  <c r="N112" i="10"/>
  <c r="N68" i="10"/>
  <c r="B144" i="10"/>
  <c r="B148" i="10" s="1"/>
  <c r="N71" i="10" l="1"/>
  <c r="G118" i="9"/>
  <c r="G128" i="9" s="1"/>
  <c r="I93" i="9"/>
  <c r="N93" i="9" s="1"/>
  <c r="H92" i="9"/>
  <c r="H99" i="9" s="1"/>
  <c r="H130" i="9" s="1"/>
  <c r="G99" i="9"/>
  <c r="G130" i="9" s="1"/>
  <c r="N116" i="10"/>
  <c r="B154" i="10"/>
  <c r="C137" i="10" s="1"/>
  <c r="C139" i="10" s="1"/>
  <c r="C148" i="10" s="1"/>
  <c r="N118" i="10"/>
  <c r="J118" i="9" l="1"/>
  <c r="J128" i="9" s="1"/>
  <c r="M118" i="9"/>
  <c r="M128" i="9" s="1"/>
  <c r="L118" i="9"/>
  <c r="L128" i="9" s="1"/>
  <c r="E118" i="9"/>
  <c r="E128" i="9" s="1"/>
  <c r="B118" i="9"/>
  <c r="B128" i="9" s="1"/>
  <c r="B134" i="9" s="1"/>
  <c r="B140" i="9" s="1"/>
  <c r="C123" i="9" s="1"/>
  <c r="C125" i="9" s="1"/>
  <c r="K118" i="9"/>
  <c r="K128" i="9" s="1"/>
  <c r="F118" i="9"/>
  <c r="F128" i="9" s="1"/>
  <c r="D118" i="9"/>
  <c r="D128" i="9" s="1"/>
  <c r="C118" i="9"/>
  <c r="C128" i="9" s="1"/>
  <c r="I118" i="9"/>
  <c r="I128" i="9" s="1"/>
  <c r="H118" i="9"/>
  <c r="H128" i="9" s="1"/>
  <c r="I99" i="9"/>
  <c r="I130" i="9" s="1"/>
  <c r="N92" i="9"/>
  <c r="C154" i="10"/>
  <c r="D137" i="10"/>
  <c r="D139" i="10" s="1"/>
  <c r="D148" i="10" s="1"/>
  <c r="C134" i="9" l="1"/>
  <c r="D123" i="9" s="1"/>
  <c r="D125" i="9" s="1"/>
  <c r="D134" i="9" s="1"/>
  <c r="N118" i="9"/>
  <c r="J94" i="9"/>
  <c r="N94" i="9" s="1"/>
  <c r="D154" i="10"/>
  <c r="E137" i="10"/>
  <c r="E139" i="10" s="1"/>
  <c r="E148" i="10" s="1"/>
  <c r="C140" i="9" l="1"/>
  <c r="N98" i="9"/>
  <c r="K95" i="9"/>
  <c r="N95" i="9" s="1"/>
  <c r="J99" i="9"/>
  <c r="D140" i="9"/>
  <c r="E123" i="9"/>
  <c r="E125" i="9" s="1"/>
  <c r="E134" i="9" s="1"/>
  <c r="E154" i="10"/>
  <c r="F137" i="10"/>
  <c r="F139" i="10" s="1"/>
  <c r="F148" i="10" s="1"/>
  <c r="J130" i="9" l="1"/>
  <c r="L96" i="9"/>
  <c r="E140" i="9"/>
  <c r="F123" i="9"/>
  <c r="F125" i="9" s="1"/>
  <c r="F134" i="9" s="1"/>
  <c r="K99" i="9"/>
  <c r="K130" i="9" s="1"/>
  <c r="G137" i="10"/>
  <c r="G139" i="10" s="1"/>
  <c r="G148" i="10" s="1"/>
  <c r="F154" i="10"/>
  <c r="L99" i="9" l="1"/>
  <c r="L130" i="9" s="1"/>
  <c r="N96" i="9"/>
  <c r="M97" i="9"/>
  <c r="M99" i="9" s="1"/>
  <c r="G123" i="9"/>
  <c r="G125" i="9" s="1"/>
  <c r="G134" i="9" s="1"/>
  <c r="F140" i="9"/>
  <c r="G154" i="10"/>
  <c r="H137" i="10"/>
  <c r="H139" i="10" s="1"/>
  <c r="H148" i="10" s="1"/>
  <c r="N97" i="9" l="1"/>
  <c r="M130" i="9"/>
  <c r="N99" i="9"/>
  <c r="H123" i="9"/>
  <c r="H125" i="9" s="1"/>
  <c r="H134" i="9" s="1"/>
  <c r="G140" i="9"/>
  <c r="H154" i="10"/>
  <c r="I137" i="10"/>
  <c r="I139" i="10" s="1"/>
  <c r="I148" i="10" s="1"/>
  <c r="H140" i="9" l="1"/>
  <c r="I123" i="9"/>
  <c r="I125" i="9" s="1"/>
  <c r="I134" i="9" s="1"/>
  <c r="I154" i="10"/>
  <c r="J137" i="10"/>
  <c r="J139" i="10" s="1"/>
  <c r="J148" i="10" s="1"/>
  <c r="I140" i="9" l="1"/>
  <c r="J123" i="9"/>
  <c r="J125" i="9" s="1"/>
  <c r="J134" i="9" s="1"/>
  <c r="J154" i="10"/>
  <c r="K137" i="10"/>
  <c r="K139" i="10" s="1"/>
  <c r="K148" i="10" s="1"/>
  <c r="K123" i="9" l="1"/>
  <c r="K125" i="9" s="1"/>
  <c r="K134" i="9" s="1"/>
  <c r="J140" i="9"/>
  <c r="K154" i="10"/>
  <c r="L137" i="10"/>
  <c r="L139" i="10" s="1"/>
  <c r="L148" i="10" s="1"/>
  <c r="L123" i="9" l="1"/>
  <c r="L125" i="9" s="1"/>
  <c r="L134" i="9" s="1"/>
  <c r="K140" i="9"/>
  <c r="L154" i="10"/>
  <c r="M137" i="10"/>
  <c r="M139" i="10" s="1"/>
  <c r="M148" i="10" s="1"/>
  <c r="M154" i="10" s="1"/>
  <c r="N154" i="10" s="1"/>
  <c r="L140" i="9" l="1"/>
  <c r="M123" i="9"/>
  <c r="M125" i="9" s="1"/>
  <c r="M134" i="9" s="1"/>
  <c r="M140" i="9" s="1"/>
  <c r="N140" i="9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<sst xmlns="http://schemas.openxmlformats.org/spreadsheetml/2006/main" count="658" uniqueCount="235">
  <si>
    <t>Customer sales assumption</t>
  </si>
  <si>
    <t>Current operation capacity</t>
  </si>
  <si>
    <t>50% or 1000 people</t>
  </si>
  <si>
    <t>Market indoor</t>
  </si>
  <si>
    <t>Market outdoor</t>
  </si>
  <si>
    <t>75% or 5000 people</t>
  </si>
  <si>
    <t>Operation capacity without protocal</t>
  </si>
  <si>
    <t xml:space="preserve">market outdoor </t>
  </si>
  <si>
    <t>total customers allowed in the market</t>
  </si>
  <si>
    <t>people</t>
  </si>
  <si>
    <t>Assumptions made:</t>
  </si>
  <si>
    <t>1. Using the provided information  to calculate full market capacity</t>
  </si>
  <si>
    <t>8700  customers allowed to shop in the market each day</t>
  </si>
  <si>
    <t>(8700*0.75)</t>
  </si>
  <si>
    <t>Customers shop at Saint Lawrence market each day</t>
  </si>
  <si>
    <t xml:space="preserve">to her own customers </t>
  </si>
  <si>
    <t xml:space="preserve">5. monthly customers for Justyna = </t>
  </si>
  <si>
    <t>6. Assume because that Product B ( Wooden sculture) is more popular than Product A ( Iron man toys)</t>
  </si>
  <si>
    <t>Therefore, the distirbution between product A and B is 40: 60</t>
  </si>
  <si>
    <r>
      <t xml:space="preserve">3. customers per month is 6525 * 30 = </t>
    </r>
    <r>
      <rPr>
        <b/>
        <sz val="11"/>
        <color theme="1"/>
        <rFont val="Calibri"/>
        <family val="2"/>
        <scheme val="minor"/>
      </rPr>
      <t xml:space="preserve">19750 customers </t>
    </r>
  </si>
  <si>
    <r>
      <t xml:space="preserve">2. Assume each day St. Lawrence has </t>
    </r>
    <r>
      <rPr>
        <b/>
        <sz val="11"/>
        <color theme="1"/>
        <rFont val="Calibri"/>
        <family val="2"/>
        <scheme val="minor"/>
      </rPr>
      <t>75%</t>
    </r>
    <r>
      <rPr>
        <sz val="11"/>
        <color theme="1"/>
        <rFont val="Calibri"/>
        <family val="2"/>
        <scheme val="minor"/>
      </rPr>
      <t xml:space="preserve"> of its full capacity occupied</t>
    </r>
  </si>
  <si>
    <t>4. Assume Justyna can convert 5% of the total customers each month</t>
  </si>
  <si>
    <t>(19750*0.05)</t>
  </si>
  <si>
    <t>customers</t>
  </si>
  <si>
    <t>units</t>
  </si>
  <si>
    <t>(980*0.4)</t>
  </si>
  <si>
    <t>(980*0.6)</t>
  </si>
  <si>
    <t>7. Assume distribution among Product 1A and 1B is 40:60. Toys with led effects are more popular</t>
  </si>
  <si>
    <t xml:space="preserve">Product 1 (Iron man toys) unit sales = </t>
  </si>
  <si>
    <t xml:space="preserve">Product 2 (Wooden Sculture) units sales </t>
  </si>
  <si>
    <t xml:space="preserve">Product 1A </t>
  </si>
  <si>
    <t>Product 1B</t>
  </si>
  <si>
    <t>units sold</t>
  </si>
  <si>
    <t xml:space="preserve">8. Assume dostronition among Product 2A and 2B is 50:50. The popularity among two types are equal. </t>
  </si>
  <si>
    <t>Product 2A</t>
  </si>
  <si>
    <t>Product 2B</t>
  </si>
  <si>
    <t>Scenarios that will affect sales</t>
  </si>
  <si>
    <t>9: assume during chinese holidays, product 2A will be sold at 5% discount</t>
  </si>
  <si>
    <t>during christmas, Product 2B will be sold at 5% discount</t>
  </si>
  <si>
    <t xml:space="preserve">During comic con( assume it lasts for the whole month of May), Product 1A and 1B will be sold together as a bundle </t>
  </si>
  <si>
    <t>3. Asuume Robert Downey Jr. is hosing his personal events in the St. Lawrence Market , which will drives sales for Product 1A and B by 30%</t>
  </si>
  <si>
    <t>2. Asuume another new avernger airing for 2 months will drive up the sales by 20% for product 1</t>
  </si>
  <si>
    <t xml:space="preserve">5. Sales will increase by 10% for Product 2B during chritmas </t>
  </si>
  <si>
    <t xml:space="preserve">4. Sales will increase by 40% for 2A during Chinese new year with the discount rate of 5% </t>
  </si>
  <si>
    <t>sale price</t>
  </si>
  <si>
    <t>product type</t>
  </si>
  <si>
    <t>normal iron man toy</t>
  </si>
  <si>
    <t>Iron man with special effects</t>
  </si>
  <si>
    <t>Chinese zodiac wooden sculture</t>
  </si>
  <si>
    <t>Westerm zodiac wooden sculture</t>
  </si>
  <si>
    <t>Variable manufacturing cost</t>
  </si>
  <si>
    <t>Direct material</t>
  </si>
  <si>
    <t>NOTE: wooden scultures DL cost is higher because they are hand made</t>
  </si>
  <si>
    <t>Overhead cost</t>
  </si>
  <si>
    <t>wood ( 3kg @ 6 dollars per kg)</t>
  </si>
  <si>
    <t>speaker for audio output ( 1 speaker / unit)</t>
  </si>
  <si>
    <t>lithium battery ( 2 required  @ 50 cents / battery)</t>
  </si>
  <si>
    <t>Plastic ( 1 kg of plastic / toy @ 2 dollars per kg)</t>
  </si>
  <si>
    <t>LED lights and cables ( 50 cents per led light including cables, 2 required)</t>
  </si>
  <si>
    <t>total variable cost</t>
  </si>
  <si>
    <t>Wood is also much more expensive than plastic</t>
  </si>
  <si>
    <t xml:space="preserve">Januray </t>
  </si>
  <si>
    <t xml:space="preserve">March </t>
  </si>
  <si>
    <t>Expected customers for product 1A</t>
  </si>
  <si>
    <t>Expected customers for product 1B</t>
  </si>
  <si>
    <t>Unit sales price for 1A</t>
  </si>
  <si>
    <t>Unit sales price for 1B</t>
  </si>
  <si>
    <t>Budget for Product 2</t>
  </si>
  <si>
    <t>Expected customers for product 2A</t>
  </si>
  <si>
    <t>Expected customers for product 2B</t>
  </si>
  <si>
    <t>Unit sales price for 2A</t>
  </si>
  <si>
    <t>Unit sales price for 2B</t>
  </si>
  <si>
    <t>note: Robert Downey Jr. is coming to Saint. Lawrence market for personal events for a month in January</t>
  </si>
  <si>
    <t>, which falls into scenario 3, driving sales for 1A and 1B up by 30%, other months in Q1 remain normal</t>
  </si>
  <si>
    <t>Expected sales for Product 1</t>
  </si>
  <si>
    <t>Expected sales for Product 2</t>
  </si>
  <si>
    <t>Budget Sales, Year of 2022</t>
  </si>
  <si>
    <t>Budgeted sales</t>
  </si>
  <si>
    <t>desired ending inventory</t>
  </si>
  <si>
    <t>total neeeds</t>
  </si>
  <si>
    <t>less: beginning</t>
  </si>
  <si>
    <t>required production</t>
  </si>
  <si>
    <t>production</t>
  </si>
  <si>
    <t>10: assume disired ending inventory is 10% of next year's budgete sales</t>
  </si>
  <si>
    <t>Production budget for 1A, year of 2022</t>
  </si>
  <si>
    <t>Production budget for 1B, year of 2022</t>
  </si>
  <si>
    <t>note: assume desired inventory is 10% of next year's sales</t>
  </si>
  <si>
    <t>production needs</t>
  </si>
  <si>
    <t>add: desired ending inventory</t>
  </si>
  <si>
    <t>total needed</t>
  </si>
  <si>
    <t>less: beginning inventory</t>
  </si>
  <si>
    <t>materials per unit (1kg of plastic)</t>
  </si>
  <si>
    <t xml:space="preserve">Budget for Product 1 </t>
  </si>
  <si>
    <t>April</t>
  </si>
  <si>
    <t>May</t>
  </si>
  <si>
    <t>June</t>
  </si>
  <si>
    <t xml:space="preserve">July </t>
  </si>
  <si>
    <t>August</t>
  </si>
  <si>
    <t>September</t>
  </si>
  <si>
    <t>October</t>
  </si>
  <si>
    <t>November</t>
  </si>
  <si>
    <t>December</t>
  </si>
  <si>
    <t>Direct materials budget for 1A, year of 2022, in kg</t>
  </si>
  <si>
    <t>Scenario 3 occurs in Janurary for Product 1</t>
  </si>
  <si>
    <t>regular  retail sale price</t>
  </si>
  <si>
    <t xml:space="preserve">Regular unit sales </t>
  </si>
  <si>
    <r>
      <t xml:space="preserve">(Note: Please visit the </t>
    </r>
    <r>
      <rPr>
        <i/>
        <u/>
        <sz val="11"/>
        <color theme="1"/>
        <rFont val="Calibri"/>
        <family val="2"/>
        <scheme val="minor"/>
      </rPr>
      <t>assumption sheet</t>
    </r>
    <r>
      <rPr>
        <sz val="11"/>
        <color theme="1"/>
        <rFont val="Calibri"/>
        <family val="2"/>
        <scheme val="minor"/>
      </rPr>
      <t xml:space="preserve"> on details of how I approxiamate the regular monthly sales unit)</t>
    </r>
  </si>
  <si>
    <t xml:space="preserve">note: ending inventory for direct material for Product 1A is, </t>
  </si>
  <si>
    <t>8% of the following months production needs</t>
  </si>
  <si>
    <t>Scenario 2 occurs from April to May</t>
  </si>
  <si>
    <t>New Avengers movie: Rebirth of Tony Stark airs for 2 months, driving iron man toys sales up by 20%</t>
  </si>
  <si>
    <t>materials to be purchased (plastic in kg)</t>
  </si>
  <si>
    <t>(Januray  Product 1A sales: 158*1.3=206)</t>
  </si>
  <si>
    <t>(Janurary Product 1B sales: 237*1.3=308)</t>
  </si>
  <si>
    <t>(April to May  Product 1A sales: 158*1.2=190)</t>
  </si>
  <si>
    <t>1. Summer season sales for both product 1 and 2 will increase by 40%, both product 1 and 2 will be sold at a discount of 7%</t>
  </si>
  <si>
    <t>1. Summer season sales for both product 1 and 2 will increase by 40 % at a discount of 7%</t>
  </si>
  <si>
    <t>Scenario 1 happens from July and August, summer sales increase by 40%, items are sold at a discount of 7%</t>
  </si>
  <si>
    <t>Annual</t>
  </si>
  <si>
    <t>11. assume Justyna collects 100% of its sales in cash at the month of its sale</t>
  </si>
  <si>
    <t xml:space="preserve">cash collection </t>
  </si>
  <si>
    <t>total cash collection</t>
  </si>
  <si>
    <t>desired ending inventory is 10% of next months production</t>
  </si>
  <si>
    <t>Direct materials budget for 1B, year of 2022, in kg</t>
  </si>
  <si>
    <t>led lights and cables ( 2 required, 50 cents each)</t>
  </si>
  <si>
    <t>lithium battery ( 2 required @ 50cents each)</t>
  </si>
  <si>
    <t>plastic  needs</t>
  </si>
  <si>
    <t>led lights and cables needs</t>
  </si>
  <si>
    <t>lithium battery needs</t>
  </si>
  <si>
    <t>add: desired plastic ending inventory</t>
  </si>
  <si>
    <t>add: desired LED ending inventory</t>
  </si>
  <si>
    <t>total plastic cost ($1 PER KG)</t>
  </si>
  <si>
    <t>less beginning pliastic inventory</t>
  </si>
  <si>
    <t>plastic required</t>
  </si>
  <si>
    <t>total plastic needs</t>
  </si>
  <si>
    <t xml:space="preserve">LED needed: </t>
  </si>
  <si>
    <t>less: beginning LED inventory</t>
  </si>
  <si>
    <t>total LED needed</t>
  </si>
  <si>
    <t>Total led cost</t>
  </si>
  <si>
    <t>add: desired lithium battery inventory</t>
  </si>
  <si>
    <t>lithium battery required</t>
  </si>
  <si>
    <t>less: beginning lithium battery inventory</t>
  </si>
  <si>
    <t>total lithium battery required</t>
  </si>
  <si>
    <t>total lithium battery cost</t>
  </si>
  <si>
    <t>Speaker ( 1 required @ 2  dollars each)</t>
  </si>
  <si>
    <t>total speaker required</t>
  </si>
  <si>
    <t>add desired speaker ending inventory</t>
  </si>
  <si>
    <t>speaker needs</t>
  </si>
  <si>
    <t>less: beginning speaker inventory</t>
  </si>
  <si>
    <t>speaker required to be purchased</t>
  </si>
  <si>
    <t>speaker cost</t>
  </si>
  <si>
    <t>total material cash disbursement</t>
  </si>
  <si>
    <t>cash disbursement ( assume Justyna pays half of the material cash disbusrment on the current month, and the other 50% in the following month)</t>
  </si>
  <si>
    <t>January</t>
  </si>
  <si>
    <t>February</t>
  </si>
  <si>
    <t>March</t>
  </si>
  <si>
    <t>July</t>
  </si>
  <si>
    <t>total</t>
  </si>
  <si>
    <t>Direct labor budget for Product 1A</t>
  </si>
  <si>
    <t xml:space="preserve">Units of Production </t>
  </si>
  <si>
    <t>labor hours required</t>
  </si>
  <si>
    <t xml:space="preserve">labor hours paid </t>
  </si>
  <si>
    <t>Direct labor hours per unit</t>
  </si>
  <si>
    <t>hourly wage rate for product 1A</t>
  </si>
  <si>
    <t>total direct labor costs</t>
  </si>
  <si>
    <t>Direct labor budget for Product 1B</t>
  </si>
  <si>
    <t>hourly wage rate for product 1B</t>
  </si>
  <si>
    <t>cash balance , beginning</t>
  </si>
  <si>
    <t>total cash available</t>
  </si>
  <si>
    <t>less cash disbursement</t>
  </si>
  <si>
    <t>utility</t>
  </si>
  <si>
    <t>machines for production ( equipment)</t>
  </si>
  <si>
    <t>(Assuming Justyna $10,000 in her bank account that she prepared to run her business at the beginning of the year(</t>
  </si>
  <si>
    <t>cash Budget for Product 1</t>
  </si>
  <si>
    <t>direct labor for product 1A</t>
  </si>
  <si>
    <t xml:space="preserve">direct labor for product 1B </t>
  </si>
  <si>
    <t>direct material for product 1A</t>
  </si>
  <si>
    <t>direct material for product 1B</t>
  </si>
  <si>
    <t>Rent</t>
  </si>
  <si>
    <t>Financing</t>
  </si>
  <si>
    <t>machines</t>
  </si>
  <si>
    <t>add cash collection from Product 1</t>
  </si>
  <si>
    <t>cash disbursement product 1A ( assume Justyna pays half of the material cash disbusrment on the current month, and the other 50% in the following month)</t>
  </si>
  <si>
    <t xml:space="preserve">loan </t>
  </si>
  <si>
    <t>interest</t>
  </si>
  <si>
    <t xml:space="preserve">repayment </t>
  </si>
  <si>
    <t>total financing</t>
  </si>
  <si>
    <t>excess cash/ deficit</t>
  </si>
  <si>
    <t>Ending cash balance</t>
  </si>
  <si>
    <t>cash distribution ( $5 per kg)</t>
  </si>
  <si>
    <t>Scenario 4 occurs on the month of February, 2022, because it is the month of chinese new year</t>
  </si>
  <si>
    <t>(Assuming Justyna $10,000 in her bank account that she prepared to run her business at the beginning of the year)</t>
  </si>
  <si>
    <t>Scenario 4</t>
  </si>
  <si>
    <t>Product 2A ( Chinese zodiac wooden sculture ) sales will increase by 40%, each product on a 10% discount</t>
  </si>
  <si>
    <t xml:space="preserve">4. Sales will increase by 40% for 2A during Chinese new year with the discount rate of 10% </t>
  </si>
  <si>
    <t>5. Sales will increase by 10% for Product 2B during chritmas on a discount of 10%</t>
  </si>
  <si>
    <t>Scenario 5</t>
  </si>
  <si>
    <t xml:space="preserve">Scenario 5 occurs during the Christmas month December, 2022, sales of product 2A western zodiac </t>
  </si>
  <si>
    <t>wooden sculture increases by 10%, each sculture is sold on with a 10% discount</t>
  </si>
  <si>
    <t>cash collection for product 2</t>
  </si>
  <si>
    <t>Production budget for 2A, year of 2022</t>
  </si>
  <si>
    <t>Production budget for 2B, year of 2022</t>
  </si>
  <si>
    <t>(February  Product 2A sales: 294*1.4=412)</t>
  </si>
  <si>
    <t>sales for July &amp; August(2*1.4)</t>
  </si>
  <si>
    <t>sale price for July &amp; August ( 50*0.93)</t>
  </si>
  <si>
    <t>Scenario 1</t>
  </si>
  <si>
    <t>Summer ( July to August), all products sales increase by 40 % and are sold at a 7% discount</t>
  </si>
  <si>
    <t>8% of the following months production needs, except for november with a 20% desired ending inventory because of upcoming chrsitmas sale</t>
  </si>
  <si>
    <t xml:space="preserve">note: assume desired inventory is 10% of next year's sales, except January and november. The desired ending inventory is 20% for Janurary </t>
  </si>
  <si>
    <t>Justyna expects to have more ending inventory in Januray and December to handle the upcoming chinese new year sales</t>
  </si>
  <si>
    <t>cash distribution ( $6 per kg)</t>
  </si>
  <si>
    <t>materials per unit (3kg of wood)</t>
  </si>
  <si>
    <t>production needs ( in kg)</t>
  </si>
  <si>
    <t>materials to be purchased (wood in kg)</t>
  </si>
  <si>
    <t>Direct materials budget for 2A, year of 2022, in kg</t>
  </si>
  <si>
    <t>cash disbursement product 2A ( assume Justyna pays half of the material cash disbusrment on the current month, and the other 50% in the following month)</t>
  </si>
  <si>
    <t>Direct materials budget for 2B, year of 2022, in kg</t>
  </si>
  <si>
    <t>cash disbursement for Product 2B ( assume Justyna pays half of the material cash disbusrment on the current month, and the other 50% in the following month)</t>
  </si>
  <si>
    <t>Direct labor budget for Product 2A</t>
  </si>
  <si>
    <t>Direct labor budget for Product 2B</t>
  </si>
  <si>
    <t>direct labor cost ( 1A: 0.5 hrs per unit, 1B 0,75 hours per unit, 2A and 2B : 2hr/unit)</t>
  </si>
  <si>
    <t>add cash collection from Product 2</t>
  </si>
  <si>
    <t>hourly wage rate for product 2B</t>
  </si>
  <si>
    <t>hourly wage rate for product 2A</t>
  </si>
  <si>
    <t>Rent ( no rent paid because it is paid with revenue from product 1)</t>
  </si>
  <si>
    <t>utility ( paid with product 1)</t>
  </si>
  <si>
    <t>direct labor for product 2A</t>
  </si>
  <si>
    <t xml:space="preserve">direct labor for product 2B </t>
  </si>
  <si>
    <t>direct material for product 2A</t>
  </si>
  <si>
    <t>direct material for product 2B</t>
  </si>
  <si>
    <t>Note: The budgeted ending cash balance is much lower in Product 2 because the products are handmade,</t>
  </si>
  <si>
    <t xml:space="preserve">requires longer hours. More over, material is much more expensive because wood is expensive </t>
  </si>
  <si>
    <t>notes:</t>
  </si>
  <si>
    <t>Cash collection for product 1</t>
  </si>
  <si>
    <t>note:desired ending inventory is 10% of next months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</si>
</sst>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1" fontId="0" fillId="0" borderId="0" xfId="0" applyNumberFormat="1"/>
    <xf numFmtId="0" fontId="2" fillId="0" borderId="0" xfId="0" applyFont="1"/>
    <xf numFmtId="44" fontId="3" fillId="0" borderId="0" xfId="1" applyFont="1"/>
    <xf numFmtId="44" fontId="0" fillId="0" borderId="0" xfId="1" applyFont="1"/>
    <xf numFmtId="44" fontId="2" fillId="0" borderId="0" xfId="1" applyFont="1"/>
    <xf numFmtId="6" fontId="0" fillId="0" borderId="0" xfId="1" applyNumberFormat="1" applyFont="1"/>
    <xf numFmtId="44" fontId="0" fillId="0" borderId="0" xfId="0" applyNumberFormat="1"/>
    <xf numFmtId="1" fontId="0" fillId="0" borderId="0" xfId="1" applyNumberFormat="1" applyFont="1"/>
    <xf numFmtId="0" fontId="0" fillId="0" borderId="0" xfId="1" applyNumberFormat="1" applyFont="1"/>
    <xf numFmtId="0" fontId="0" fillId="0" borderId="0" xfId="0" applyNumberFormat="1"/>
    <xf numFmtId="44" fontId="0" fillId="0" borderId="0" xfId="1" applyFont="1" applyBorder="1"/>
    <xf numFmtId="44" fontId="0" fillId="0" borderId="2" xfId="0" applyNumberFormat="1" applyBorder="1"/>
    <xf numFmtId="44" fontId="0" fillId="0" borderId="2" xfId="1" applyFont="1" applyBorder="1"/>
    <xf numFmtId="0" fontId="5" fillId="2" borderId="0" xfId="0" applyFont="1" applyFill="1"/>
    <xf numFmtId="0" fontId="0" fillId="2" borderId="0" xfId="0" applyFill="1"/>
    <xf numFmtId="0" fontId="0" fillId="2" borderId="0" xfId="0" applyFont="1" applyFill="1"/>
    <xf numFmtId="0" fontId="3" fillId="2" borderId="0" xfId="0" applyFont="1" applyFill="1"/>
    <xf numFmtId="0" fontId="8" fillId="0" borderId="0" xfId="0" applyFont="1"/>
    <xf numFmtId="0" fontId="10" fillId="0" borderId="0" xfId="0" applyFont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3" fillId="0" borderId="0" xfId="0" applyFont="1" applyFill="1"/>
    <xf numFmtId="44" fontId="0" fillId="0" borderId="0" xfId="1" applyFont="1" applyFill="1" applyBorder="1"/>
    <xf numFmtId="44" fontId="0" fillId="0" borderId="0" xfId="1" applyNumberFormat="1" applyFont="1"/>
    <xf numFmtId="0" fontId="0" fillId="0" borderId="2" xfId="0" applyBorder="1"/>
    <xf numFmtId="0" fontId="11" fillId="0" borderId="0" xfId="0" applyFont="1"/>
    <xf numFmtId="44" fontId="3" fillId="0" borderId="0" xfId="0" applyNumberFormat="1" applyFont="1"/>
    <xf numFmtId="44" fontId="0" fillId="0" borderId="4" xfId="1" applyNumberFormat="1" applyFont="1" applyBorder="1"/>
    <xf numFmtId="1" fontId="0" fillId="0" borderId="0" xfId="0" applyNumberFormat="1" applyFill="1"/>
    <xf numFmtId="44" fontId="0" fillId="0" borderId="0" xfId="1" applyFont="1" applyFill="1"/>
    <xf numFmtId="44" fontId="0" fillId="0" borderId="2" xfId="1" applyFont="1" applyFill="1" applyBorder="1"/>
    <xf numFmtId="44" fontId="0" fillId="0" borderId="5" xfId="1" applyNumberFormat="1" applyFont="1" applyBorder="1"/>
    <xf numFmtId="0" fontId="0" fillId="0" borderId="5" xfId="0" applyBorder="1"/>
    <xf numFmtId="44" fontId="0" fillId="0" borderId="5" xfId="0" applyNumberFormat="1" applyBorder="1"/>
    <xf numFmtId="44" fontId="0" fillId="0" borderId="6" xfId="0" applyNumberFormat="1" applyBorder="1"/>
    <xf numFmtId="0" fontId="7" fillId="7" borderId="0" xfId="0" applyFont="1" applyFill="1"/>
    <xf numFmtId="0" fontId="6" fillId="7" borderId="0" xfId="0" applyFont="1" applyFill="1"/>
    <xf numFmtId="0" fontId="13" fillId="7" borderId="0" xfId="0" applyFont="1" applyFill="1"/>
    <xf numFmtId="0" fontId="6" fillId="8" borderId="0" xfId="0" applyFont="1" applyFill="1"/>
    <xf numFmtId="0" fontId="15" fillId="8" borderId="0" xfId="0" applyFont="1" applyFill="1"/>
    <xf numFmtId="0" fontId="7" fillId="8" borderId="0" xfId="0" applyFont="1" applyFill="1"/>
    <xf numFmtId="0" fontId="0" fillId="8" borderId="0" xfId="0" applyFill="1"/>
    <xf numFmtId="0" fontId="14" fillId="4" borderId="0" xfId="0" applyFont="1" applyFill="1"/>
    <xf numFmtId="0" fontId="0" fillId="0" borderId="7" xfId="0" applyBorder="1"/>
    <xf numFmtId="0" fontId="8" fillId="0" borderId="7" xfId="0" applyFont="1" applyBorder="1"/>
    <xf numFmtId="0" fontId="3" fillId="2" borderId="7" xfId="0" applyFont="1" applyFill="1" applyBorder="1"/>
    <xf numFmtId="0" fontId="3" fillId="0" borderId="7" xfId="0" applyFont="1" applyBorder="1"/>
    <xf numFmtId="0" fontId="3" fillId="3" borderId="7" xfId="0" applyFont="1" applyFill="1" applyBorder="1"/>
    <xf numFmtId="0" fontId="3" fillId="0" borderId="7" xfId="0" applyFont="1" applyFill="1" applyBorder="1"/>
    <xf numFmtId="0" fontId="3" fillId="4" borderId="7" xfId="0" applyFont="1" applyFill="1" applyBorder="1"/>
    <xf numFmtId="1" fontId="0" fillId="0" borderId="7" xfId="1" applyNumberFormat="1" applyFont="1" applyBorder="1"/>
    <xf numFmtId="1" fontId="0" fillId="0" borderId="7" xfId="0" applyNumberFormat="1" applyBorder="1"/>
    <xf numFmtId="1" fontId="0" fillId="6" borderId="7" xfId="0" applyNumberFormat="1" applyFill="1" applyBorder="1"/>
    <xf numFmtId="1" fontId="0" fillId="5" borderId="7" xfId="0" applyNumberFormat="1" applyFill="1" applyBorder="1"/>
    <xf numFmtId="1" fontId="0" fillId="5" borderId="7" xfId="0" applyNumberFormat="1" applyFill="1" applyBorder="1" applyAlignment="1"/>
    <xf numFmtId="44" fontId="0" fillId="0" borderId="7" xfId="0" applyNumberFormat="1" applyBorder="1"/>
    <xf numFmtId="44" fontId="0" fillId="0" borderId="7" xfId="1" applyFont="1" applyBorder="1"/>
    <xf numFmtId="44" fontId="0" fillId="6" borderId="7" xfId="1" applyFont="1" applyFill="1" applyBorder="1"/>
    <xf numFmtId="44" fontId="0" fillId="5" borderId="7" xfId="1" applyFont="1" applyFill="1" applyBorder="1"/>
    <xf numFmtId="0" fontId="0" fillId="0" borderId="8" xfId="0" applyFill="1" applyBorder="1"/>
    <xf numFmtId="0" fontId="2" fillId="0" borderId="3" xfId="0" applyFont="1" applyBorder="1"/>
    <xf numFmtId="0" fontId="10" fillId="0" borderId="3" xfId="0" applyFont="1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2" fillId="0" borderId="1" xfId="0" applyFont="1" applyBorder="1"/>
    <xf numFmtId="0" fontId="10" fillId="0" borderId="1" xfId="0" applyFont="1" applyBorder="1"/>
    <xf numFmtId="0" fontId="0" fillId="0" borderId="1" xfId="0" applyBorder="1"/>
    <xf numFmtId="0" fontId="0" fillId="0" borderId="11" xfId="0" applyBorder="1"/>
    <xf numFmtId="44" fontId="0" fillId="0" borderId="13" xfId="1" applyFont="1" applyBorder="1"/>
    <xf numFmtId="44" fontId="0" fillId="6" borderId="13" xfId="1" applyFont="1" applyFill="1" applyBorder="1"/>
    <xf numFmtId="44" fontId="0" fillId="5" borderId="13" xfId="1" applyFont="1" applyFill="1" applyBorder="1"/>
    <xf numFmtId="44" fontId="0" fillId="0" borderId="13" xfId="0" applyNumberFormat="1" applyBorder="1"/>
    <xf numFmtId="44" fontId="0" fillId="0" borderId="12" xfId="0" applyNumberFormat="1" applyBorder="1"/>
    <xf numFmtId="44" fontId="0" fillId="0" borderId="12" xfId="1" applyFont="1" applyBorder="1"/>
    <xf numFmtId="44" fontId="0" fillId="6" borderId="12" xfId="1" applyFont="1" applyFill="1" applyBorder="1"/>
    <xf numFmtId="44" fontId="0" fillId="5" borderId="12" xfId="1" applyFont="1" applyFill="1" applyBorder="1"/>
    <xf numFmtId="0" fontId="0" fillId="0" borderId="14" xfId="0" applyBorder="1"/>
    <xf numFmtId="0" fontId="0" fillId="0" borderId="15" xfId="0" applyBorder="1"/>
    <xf numFmtId="0" fontId="3" fillId="0" borderId="15" xfId="0" applyFont="1" applyBorder="1"/>
    <xf numFmtId="0" fontId="0" fillId="0" borderId="16" xfId="0" applyBorder="1"/>
    <xf numFmtId="0" fontId="0" fillId="0" borderId="17" xfId="0" applyBorder="1"/>
    <xf numFmtId="1" fontId="0" fillId="9" borderId="7" xfId="1" applyNumberFormat="1" applyFont="1" applyFill="1" applyBorder="1"/>
    <xf numFmtId="1" fontId="0" fillId="9" borderId="7" xfId="0" applyNumberFormat="1" applyFill="1" applyBorder="1"/>
    <xf numFmtId="44" fontId="0" fillId="9" borderId="7" xfId="0" applyNumberFormat="1" applyFill="1" applyBorder="1"/>
    <xf numFmtId="44" fontId="0" fillId="9" borderId="12" xfId="0" applyNumberFormat="1" applyFill="1" applyBorder="1"/>
    <xf numFmtId="44" fontId="0" fillId="9" borderId="13" xfId="1" applyFont="1" applyFill="1" applyBorder="1"/>
    <xf numFmtId="0" fontId="0" fillId="0" borderId="7" xfId="1" applyNumberFormat="1" applyFont="1" applyBorder="1"/>
    <xf numFmtId="0" fontId="0" fillId="0" borderId="7" xfId="0" applyNumberFormat="1" applyBorder="1"/>
    <xf numFmtId="0" fontId="0" fillId="0" borderId="17" xfId="0" applyFont="1" applyBorder="1"/>
    <xf numFmtId="44" fontId="0" fillId="0" borderId="7" xfId="1" applyNumberFormat="1" applyFont="1" applyBorder="1"/>
    <xf numFmtId="0" fontId="3" fillId="0" borderId="17" xfId="0" applyFont="1" applyBorder="1"/>
    <xf numFmtId="0" fontId="11" fillId="0" borderId="15" xfId="0" applyFont="1" applyBorder="1"/>
    <xf numFmtId="44" fontId="12" fillId="0" borderId="7" xfId="1" applyFont="1" applyBorder="1"/>
    <xf numFmtId="44" fontId="3" fillId="0" borderId="7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62D08-0755-407F-839E-37DA7ADC90C4}">
  <dimension ref="A1:G50"/>
  <sheetViews>
    <sheetView showGridLines="0" topLeftCell="A34" workbookViewId="0">
      <selection activeCell="B45" sqref="B45"/>
    </sheetView>
  </sheetViews>
  <sheetFormatPr defaultRowHeight="15" x14ac:dyDescent="0.25"/>
  <cols>
    <col min="1" max="1" width="33.42578125" bestFit="1" customWidth="1"/>
    <col min="2" max="2" width="10.5703125" customWidth="1"/>
    <col min="3" max="3" width="10.42578125" bestFit="1" customWidth="1"/>
    <col min="4" max="4" width="12.28515625" customWidth="1"/>
  </cols>
  <sheetData>
    <row r="1" spans="1:3" x14ac:dyDescent="0.25">
      <c r="B1" s="1" t="s">
        <v>0</v>
      </c>
    </row>
    <row r="2" spans="1:3" x14ac:dyDescent="0.25">
      <c r="A2" s="1" t="s">
        <v>1</v>
      </c>
    </row>
    <row r="3" spans="1:3" x14ac:dyDescent="0.25">
      <c r="A3" t="s">
        <v>3</v>
      </c>
      <c r="B3" t="s">
        <v>2</v>
      </c>
    </row>
    <row r="4" spans="1:3" x14ac:dyDescent="0.25">
      <c r="A4" t="s">
        <v>4</v>
      </c>
      <c r="B4" t="s">
        <v>5</v>
      </c>
    </row>
    <row r="6" spans="1:3" x14ac:dyDescent="0.25">
      <c r="A6" s="1" t="s">
        <v>6</v>
      </c>
    </row>
    <row r="7" spans="1:3" x14ac:dyDescent="0.25">
      <c r="A7" t="s">
        <v>3</v>
      </c>
      <c r="B7">
        <v>2000</v>
      </c>
      <c r="C7" t="s">
        <v>9</v>
      </c>
    </row>
    <row r="8" spans="1:3" x14ac:dyDescent="0.25">
      <c r="A8" t="s">
        <v>7</v>
      </c>
      <c r="B8">
        <v>6700</v>
      </c>
      <c r="C8" t="s">
        <v>9</v>
      </c>
    </row>
    <row r="9" spans="1:3" x14ac:dyDescent="0.25">
      <c r="A9" t="s">
        <v>8</v>
      </c>
      <c r="B9">
        <f>2000+6700</f>
        <v>8700</v>
      </c>
      <c r="C9" t="s">
        <v>9</v>
      </c>
    </row>
    <row r="11" spans="1:3" x14ac:dyDescent="0.25">
      <c r="A11" s="1" t="s">
        <v>10</v>
      </c>
      <c r="B11" t="s">
        <v>11</v>
      </c>
    </row>
    <row r="12" spans="1:3" x14ac:dyDescent="0.25">
      <c r="B12" t="s">
        <v>12</v>
      </c>
    </row>
    <row r="14" spans="1:3" x14ac:dyDescent="0.25">
      <c r="B14" t="s">
        <v>20</v>
      </c>
    </row>
    <row r="15" spans="1:3" x14ac:dyDescent="0.25">
      <c r="B15">
        <f>8700*0.75</f>
        <v>6525</v>
      </c>
      <c r="C15" t="s">
        <v>14</v>
      </c>
    </row>
    <row r="16" spans="1:3" x14ac:dyDescent="0.25">
      <c r="B16" s="6" t="s">
        <v>13</v>
      </c>
    </row>
    <row r="18" spans="2:7" x14ac:dyDescent="0.25">
      <c r="B18" t="s">
        <v>19</v>
      </c>
      <c r="E18" s="2"/>
    </row>
    <row r="20" spans="2:7" x14ac:dyDescent="0.25">
      <c r="B20" t="s">
        <v>21</v>
      </c>
    </row>
    <row r="21" spans="2:7" x14ac:dyDescent="0.25">
      <c r="B21" t="s">
        <v>15</v>
      </c>
    </row>
    <row r="23" spans="2:7" x14ac:dyDescent="0.25">
      <c r="B23" t="s">
        <v>16</v>
      </c>
      <c r="E23" s="4">
        <v>988</v>
      </c>
      <c r="F23" s="3" t="s">
        <v>23</v>
      </c>
    </row>
    <row r="24" spans="2:7" x14ac:dyDescent="0.25">
      <c r="C24" s="6" t="s">
        <v>22</v>
      </c>
    </row>
    <row r="26" spans="2:7" x14ac:dyDescent="0.25">
      <c r="B26" t="s">
        <v>17</v>
      </c>
    </row>
    <row r="27" spans="2:7" x14ac:dyDescent="0.25">
      <c r="B27" t="s">
        <v>18</v>
      </c>
    </row>
    <row r="28" spans="2:7" x14ac:dyDescent="0.25">
      <c r="B28" t="s">
        <v>28</v>
      </c>
      <c r="E28" s="5">
        <f>E23*0.4</f>
        <v>395.20000000000005</v>
      </c>
      <c r="F28" t="s">
        <v>24</v>
      </c>
      <c r="G28" s="6" t="s">
        <v>25</v>
      </c>
    </row>
    <row r="29" spans="2:7" x14ac:dyDescent="0.25">
      <c r="B29" t="s">
        <v>29</v>
      </c>
      <c r="E29">
        <f>980*0.6</f>
        <v>588</v>
      </c>
      <c r="F29" t="s">
        <v>24</v>
      </c>
      <c r="G29" s="6" t="s">
        <v>26</v>
      </c>
    </row>
    <row r="31" spans="2:7" x14ac:dyDescent="0.25">
      <c r="B31" t="s">
        <v>27</v>
      </c>
    </row>
    <row r="32" spans="2:7" x14ac:dyDescent="0.25">
      <c r="B32" t="s">
        <v>30</v>
      </c>
      <c r="C32" s="5">
        <f xml:space="preserve"> E28*0.4</f>
        <v>158.08000000000004</v>
      </c>
      <c r="D32" t="s">
        <v>32</v>
      </c>
    </row>
    <row r="33" spans="1:4" x14ac:dyDescent="0.25">
      <c r="B33" t="s">
        <v>31</v>
      </c>
      <c r="C33" s="5">
        <f>E28*0.6</f>
        <v>237.12</v>
      </c>
      <c r="D33" t="s">
        <v>32</v>
      </c>
    </row>
    <row r="35" spans="1:4" x14ac:dyDescent="0.25">
      <c r="B35" t="s">
        <v>33</v>
      </c>
    </row>
    <row r="36" spans="1:4" x14ac:dyDescent="0.25">
      <c r="B36" t="s">
        <v>34</v>
      </c>
      <c r="C36">
        <f>E29*0.5</f>
        <v>294</v>
      </c>
      <c r="D36" t="s">
        <v>32</v>
      </c>
    </row>
    <row r="37" spans="1:4" x14ac:dyDescent="0.25">
      <c r="B37" t="s">
        <v>35</v>
      </c>
      <c r="C37">
        <f>E29*0.5</f>
        <v>294</v>
      </c>
      <c r="D37" t="s">
        <v>32</v>
      </c>
    </row>
    <row r="39" spans="1:4" x14ac:dyDescent="0.25">
      <c r="B39" t="s">
        <v>37</v>
      </c>
    </row>
    <row r="40" spans="1:4" x14ac:dyDescent="0.25">
      <c r="B40" t="s">
        <v>38</v>
      </c>
    </row>
    <row r="41" spans="1:4" x14ac:dyDescent="0.25">
      <c r="B41" t="s">
        <v>39</v>
      </c>
    </row>
    <row r="43" spans="1:4" x14ac:dyDescent="0.25">
      <c r="B43" t="s">
        <v>83</v>
      </c>
    </row>
    <row r="44" spans="1:4" x14ac:dyDescent="0.25">
      <c r="B44" t="s">
        <v>119</v>
      </c>
    </row>
    <row r="45" spans="1:4" x14ac:dyDescent="0.25">
      <c r="A45" s="1" t="s">
        <v>36</v>
      </c>
    </row>
    <row r="46" spans="1:4" x14ac:dyDescent="0.25">
      <c r="B46" t="s">
        <v>116</v>
      </c>
    </row>
    <row r="47" spans="1:4" x14ac:dyDescent="0.25">
      <c r="B47" t="s">
        <v>41</v>
      </c>
    </row>
    <row r="48" spans="1:4" x14ac:dyDescent="0.25">
      <c r="B48" t="s">
        <v>40</v>
      </c>
    </row>
    <row r="49" spans="2:2" x14ac:dyDescent="0.25">
      <c r="B49" t="s">
        <v>43</v>
      </c>
    </row>
    <row r="50" spans="2:2" x14ac:dyDescent="0.25">
      <c r="B50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6B59-CF9B-4B78-8980-D8D5E5DB0F84}">
  <dimension ref="A1:I15"/>
  <sheetViews>
    <sheetView showGridLines="0" topLeftCell="A4" workbookViewId="0">
      <selection activeCell="A11" sqref="A11"/>
    </sheetView>
  </sheetViews>
  <sheetFormatPr defaultRowHeight="15" x14ac:dyDescent="0.25"/>
  <cols>
    <col min="1" max="1" width="75.85546875" style="8" bestFit="1" customWidth="1"/>
    <col min="2" max="2" width="20.5703125" style="8" bestFit="1" customWidth="1"/>
    <col min="3" max="3" width="28.42578125" style="8" bestFit="1" customWidth="1"/>
    <col min="4" max="4" width="31.5703125" style="8" bestFit="1" customWidth="1"/>
    <col min="5" max="5" width="11.85546875" style="8" bestFit="1" customWidth="1"/>
    <col min="6" max="16384" width="9.140625" style="8"/>
  </cols>
  <sheetData>
    <row r="1" spans="1:9" x14ac:dyDescent="0.25">
      <c r="A1" s="7" t="s">
        <v>45</v>
      </c>
      <c r="B1" s="8" t="s">
        <v>30</v>
      </c>
      <c r="C1" s="8" t="s">
        <v>31</v>
      </c>
      <c r="D1" s="8" t="s">
        <v>34</v>
      </c>
      <c r="E1" s="8" t="s">
        <v>35</v>
      </c>
    </row>
    <row r="2" spans="1:9" x14ac:dyDescent="0.25">
      <c r="B2" s="7" t="s">
        <v>46</v>
      </c>
      <c r="C2" s="7" t="s">
        <v>47</v>
      </c>
      <c r="D2" s="7" t="s">
        <v>48</v>
      </c>
      <c r="E2" s="8" t="s">
        <v>49</v>
      </c>
    </row>
    <row r="3" spans="1:9" x14ac:dyDescent="0.25">
      <c r="A3" s="7" t="s">
        <v>44</v>
      </c>
      <c r="B3" s="8">
        <v>15</v>
      </c>
      <c r="C3" s="8">
        <v>25</v>
      </c>
      <c r="D3" s="8">
        <v>55</v>
      </c>
      <c r="E3" s="8">
        <v>55</v>
      </c>
    </row>
    <row r="4" spans="1:9" x14ac:dyDescent="0.25">
      <c r="A4" s="7" t="s">
        <v>50</v>
      </c>
    </row>
    <row r="5" spans="1:9" x14ac:dyDescent="0.25">
      <c r="A5" s="7" t="s">
        <v>51</v>
      </c>
    </row>
    <row r="6" spans="1:9" x14ac:dyDescent="0.25">
      <c r="A6" s="8" t="s">
        <v>57</v>
      </c>
      <c r="B6" s="8">
        <v>2</v>
      </c>
      <c r="C6" s="8">
        <v>2</v>
      </c>
      <c r="D6" s="8">
        <v>0</v>
      </c>
      <c r="E6" s="8">
        <v>0</v>
      </c>
    </row>
    <row r="7" spans="1:9" x14ac:dyDescent="0.25">
      <c r="A7" s="8" t="s">
        <v>58</v>
      </c>
      <c r="C7" s="8">
        <v>1</v>
      </c>
      <c r="D7" s="8">
        <v>0</v>
      </c>
      <c r="E7" s="8">
        <v>0</v>
      </c>
    </row>
    <row r="8" spans="1:9" x14ac:dyDescent="0.25">
      <c r="A8" s="8" t="s">
        <v>56</v>
      </c>
      <c r="B8" s="8">
        <v>0</v>
      </c>
      <c r="C8" s="8">
        <v>1</v>
      </c>
      <c r="D8" s="8">
        <v>0</v>
      </c>
      <c r="E8" s="8">
        <v>0</v>
      </c>
    </row>
    <row r="9" spans="1:9" x14ac:dyDescent="0.25">
      <c r="A9" s="8" t="s">
        <v>55</v>
      </c>
      <c r="B9" s="8">
        <v>0</v>
      </c>
      <c r="C9" s="8">
        <v>2</v>
      </c>
      <c r="D9" s="8">
        <v>0</v>
      </c>
      <c r="E9" s="8">
        <v>0</v>
      </c>
    </row>
    <row r="10" spans="1:9" x14ac:dyDescent="0.25">
      <c r="A10" s="8" t="s">
        <v>54</v>
      </c>
      <c r="B10" s="8">
        <v>0</v>
      </c>
      <c r="C10" s="8">
        <v>0</v>
      </c>
      <c r="D10" s="8">
        <f>3*6</f>
        <v>18</v>
      </c>
      <c r="E10" s="8">
        <f>3*6</f>
        <v>18</v>
      </c>
    </row>
    <row r="11" spans="1:9" x14ac:dyDescent="0.25">
      <c r="A11" s="8" t="s">
        <v>220</v>
      </c>
      <c r="B11" s="8">
        <v>8</v>
      </c>
      <c r="C11" s="8">
        <v>10</v>
      </c>
      <c r="D11" s="8">
        <v>12</v>
      </c>
      <c r="E11" s="8">
        <v>12</v>
      </c>
      <c r="H11" s="9" t="s">
        <v>52</v>
      </c>
    </row>
    <row r="12" spans="1:9" x14ac:dyDescent="0.25">
      <c r="A12" s="8" t="s">
        <v>53</v>
      </c>
      <c r="B12" s="10">
        <v>5</v>
      </c>
      <c r="C12" s="8">
        <v>6</v>
      </c>
      <c r="D12" s="8">
        <v>8</v>
      </c>
      <c r="E12" s="8">
        <v>8</v>
      </c>
      <c r="I12" s="8" t="s">
        <v>60</v>
      </c>
    </row>
    <row r="13" spans="1:9" x14ac:dyDescent="0.25">
      <c r="A13" s="7" t="s">
        <v>59</v>
      </c>
      <c r="B13" s="8">
        <f>SUM(B6:B12)</f>
        <v>15</v>
      </c>
      <c r="C13" s="8">
        <f t="shared" ref="C13:E13" si="0">SUM(C6:C12)</f>
        <v>22</v>
      </c>
      <c r="D13" s="8">
        <f t="shared" si="0"/>
        <v>38</v>
      </c>
      <c r="E13" s="8">
        <f t="shared" si="0"/>
        <v>38</v>
      </c>
    </row>
    <row r="14" spans="1:9" x14ac:dyDescent="0.25">
      <c r="A14" s="7" t="s">
        <v>171</v>
      </c>
      <c r="B14" s="8">
        <v>2000</v>
      </c>
      <c r="C14" s="8">
        <v>2000</v>
      </c>
      <c r="D14" s="8">
        <v>100</v>
      </c>
      <c r="E14" s="8">
        <v>100</v>
      </c>
    </row>
    <row r="15" spans="1:9" x14ac:dyDescent="0.25">
      <c r="A1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53A4-769A-4E7D-A97F-5F56D51C1F76}">
  <dimension ref="A1:V155"/>
  <sheetViews>
    <sheetView showGridLines="0" tabSelected="1" workbookViewId="0">
      <selection activeCell="P23" sqref="P23"/>
    </sheetView>
  </sheetViews>
  <sheetFormatPr defaultRowHeight="15" x14ac:dyDescent="0.25"/>
  <cols>
    <col min="1" max="1" width="41.5703125" customWidth="1"/>
    <col min="2" max="2" width="23.28515625" customWidth="1"/>
    <col min="3" max="4" width="11.5703125" customWidth="1"/>
    <col min="5" max="5" width="14.85546875" customWidth="1"/>
    <col min="6" max="6" width="12.5703125" customWidth="1"/>
    <col min="7" max="7" width="11.7109375" customWidth="1"/>
    <col min="8" max="8" width="15.85546875" customWidth="1"/>
    <col min="9" max="9" width="14.42578125" customWidth="1"/>
    <col min="10" max="10" width="15" customWidth="1"/>
    <col min="11" max="12" width="12.85546875" customWidth="1"/>
    <col min="13" max="13" width="13.5703125" customWidth="1"/>
    <col min="14" max="14" width="14.140625" customWidth="1"/>
    <col min="15" max="15" width="13.5703125" customWidth="1"/>
    <col min="16" max="16" width="23.5703125" customWidth="1"/>
    <col min="17" max="17" width="20.5703125" bestFit="1" customWidth="1"/>
    <col min="18" max="18" width="27.28515625" customWidth="1"/>
    <col min="19" max="19" width="30" customWidth="1"/>
    <col min="20" max="20" width="17.85546875" customWidth="1"/>
  </cols>
  <sheetData>
    <row r="1" spans="1:22" x14ac:dyDescent="0.25">
      <c r="A1" s="18" t="s">
        <v>103</v>
      </c>
      <c r="B1" s="19"/>
      <c r="C1" s="19"/>
      <c r="D1" s="19"/>
      <c r="E1" s="19"/>
      <c r="F1" s="19"/>
      <c r="G1" s="19"/>
      <c r="H1" s="19"/>
      <c r="I1" s="7" t="s">
        <v>45</v>
      </c>
      <c r="J1" s="8" t="s">
        <v>30</v>
      </c>
      <c r="K1" s="8" t="s">
        <v>31</v>
      </c>
      <c r="L1" s="8" t="s">
        <v>34</v>
      </c>
      <c r="M1" s="8" t="s">
        <v>35</v>
      </c>
      <c r="N1" s="8"/>
    </row>
    <row r="2" spans="1:22" x14ac:dyDescent="0.25">
      <c r="A2" s="20" t="s">
        <v>72</v>
      </c>
      <c r="B2" s="21"/>
      <c r="C2" s="21"/>
      <c r="D2" s="21"/>
      <c r="E2" s="21"/>
      <c r="F2" s="21"/>
      <c r="G2" s="19"/>
      <c r="H2" s="19"/>
      <c r="I2" s="8"/>
      <c r="J2" s="7" t="s">
        <v>46</v>
      </c>
      <c r="K2" s="7" t="s">
        <v>47</v>
      </c>
      <c r="L2" s="7" t="s">
        <v>48</v>
      </c>
      <c r="M2" s="7" t="s">
        <v>49</v>
      </c>
      <c r="N2" s="8"/>
      <c r="V2" s="8"/>
    </row>
    <row r="3" spans="1:22" x14ac:dyDescent="0.25">
      <c r="A3" s="19" t="s">
        <v>73</v>
      </c>
      <c r="B3" s="19"/>
      <c r="C3" s="19"/>
      <c r="D3" s="19"/>
      <c r="E3" s="19"/>
      <c r="F3" s="19"/>
      <c r="G3" s="19"/>
      <c r="H3" s="19"/>
      <c r="I3" s="7" t="s">
        <v>104</v>
      </c>
      <c r="J3" s="8">
        <v>15</v>
      </c>
      <c r="K3" s="8">
        <v>25</v>
      </c>
      <c r="L3" s="8">
        <v>50</v>
      </c>
      <c r="M3" s="8">
        <v>50</v>
      </c>
      <c r="N3" s="8"/>
      <c r="V3" s="8"/>
    </row>
    <row r="4" spans="1:22" x14ac:dyDescent="0.25">
      <c r="A4" s="24" t="s">
        <v>109</v>
      </c>
      <c r="B4" s="24"/>
      <c r="C4" s="24"/>
      <c r="D4" s="24"/>
      <c r="E4" s="24"/>
      <c r="F4" s="24"/>
      <c r="G4" s="24"/>
      <c r="H4" s="24"/>
      <c r="I4" s="1" t="s">
        <v>105</v>
      </c>
      <c r="J4" s="5">
        <f>assumption!C32</f>
        <v>158.08000000000004</v>
      </c>
      <c r="K4" s="5">
        <f>assumption!C33</f>
        <v>237.12</v>
      </c>
      <c r="L4">
        <f>assumption!C36</f>
        <v>294</v>
      </c>
      <c r="M4">
        <f>assumption!C37</f>
        <v>294</v>
      </c>
      <c r="V4" s="8"/>
    </row>
    <row r="5" spans="1:22" x14ac:dyDescent="0.25">
      <c r="A5" s="24" t="s">
        <v>110</v>
      </c>
      <c r="B5" s="24"/>
      <c r="C5" s="24"/>
      <c r="D5" s="24"/>
      <c r="E5" s="24"/>
      <c r="F5" s="24"/>
      <c r="G5" s="24"/>
      <c r="H5" s="24"/>
      <c r="I5" t="s">
        <v>106</v>
      </c>
    </row>
    <row r="6" spans="1:22" x14ac:dyDescent="0.25">
      <c r="A6" s="26" t="s">
        <v>117</v>
      </c>
      <c r="B6" s="26"/>
      <c r="C6" s="26"/>
      <c r="D6" s="26"/>
      <c r="E6" s="26"/>
      <c r="F6" s="26"/>
      <c r="G6" s="26"/>
      <c r="H6" s="26"/>
      <c r="I6" s="26" t="s">
        <v>115</v>
      </c>
      <c r="J6" s="26"/>
      <c r="K6" s="26"/>
      <c r="L6" s="26"/>
      <c r="M6" s="26"/>
      <c r="N6" s="26"/>
      <c r="O6" s="26"/>
      <c r="P6" s="26"/>
      <c r="Q6" s="26"/>
    </row>
    <row r="7" spans="1:22" x14ac:dyDescent="0.25">
      <c r="I7" s="24" t="s">
        <v>41</v>
      </c>
      <c r="J7" s="24"/>
      <c r="K7" s="24"/>
      <c r="L7" s="24"/>
      <c r="M7" s="24"/>
      <c r="N7" s="24"/>
      <c r="O7" s="24"/>
      <c r="P7" s="24"/>
      <c r="Q7" s="24"/>
    </row>
    <row r="8" spans="1:22" x14ac:dyDescent="0.25">
      <c r="I8" s="19" t="s">
        <v>40</v>
      </c>
      <c r="J8" s="19"/>
      <c r="K8" s="19"/>
      <c r="L8" s="19"/>
      <c r="M8" s="19"/>
      <c r="N8" s="19"/>
      <c r="O8" s="19"/>
      <c r="P8" s="19"/>
      <c r="Q8" s="19"/>
    </row>
    <row r="9" spans="1:22" x14ac:dyDescent="0.25">
      <c r="I9" t="s">
        <v>43</v>
      </c>
    </row>
    <row r="10" spans="1:22" x14ac:dyDescent="0.25">
      <c r="I10" t="s">
        <v>42</v>
      </c>
    </row>
    <row r="11" spans="1:22" ht="18.75" x14ac:dyDescent="0.3">
      <c r="E11" s="50"/>
      <c r="F11" s="51" t="s">
        <v>92</v>
      </c>
      <c r="G11" s="50"/>
      <c r="H11" s="50"/>
    </row>
    <row r="12" spans="1:22" x14ac:dyDescent="0.25">
      <c r="E12" s="50"/>
      <c r="F12" s="50" t="s">
        <v>76</v>
      </c>
      <c r="G12" s="50"/>
      <c r="H12" s="50"/>
    </row>
    <row r="13" spans="1:22" x14ac:dyDescent="0.25">
      <c r="A13" s="50"/>
      <c r="B13" s="52" t="s">
        <v>61</v>
      </c>
      <c r="C13" s="53" t="s">
        <v>154</v>
      </c>
      <c r="D13" s="53" t="s">
        <v>62</v>
      </c>
      <c r="E13" s="54" t="s">
        <v>93</v>
      </c>
      <c r="F13" s="54" t="s">
        <v>94</v>
      </c>
      <c r="G13" s="55" t="s">
        <v>95</v>
      </c>
      <c r="H13" s="56" t="s">
        <v>96</v>
      </c>
      <c r="I13" s="56" t="s">
        <v>97</v>
      </c>
      <c r="J13" s="53" t="s">
        <v>98</v>
      </c>
      <c r="K13" s="53" t="s">
        <v>99</v>
      </c>
      <c r="L13" s="53" t="s">
        <v>100</v>
      </c>
      <c r="M13" s="53" t="s">
        <v>101</v>
      </c>
      <c r="N13" s="53" t="s">
        <v>118</v>
      </c>
    </row>
    <row r="14" spans="1:22" x14ac:dyDescent="0.25">
      <c r="A14" s="50" t="s">
        <v>63</v>
      </c>
      <c r="B14" s="89">
        <f>J4*1.3</f>
        <v>205.50400000000005</v>
      </c>
      <c r="C14" s="58">
        <f>J4</f>
        <v>158.08000000000004</v>
      </c>
      <c r="D14" s="58">
        <f>J4</f>
        <v>158.08000000000004</v>
      </c>
      <c r="E14" s="59">
        <f>158*1.2</f>
        <v>189.6</v>
      </c>
      <c r="F14" s="59">
        <f>158*1.2</f>
        <v>189.6</v>
      </c>
      <c r="G14" s="50">
        <v>158</v>
      </c>
      <c r="H14" s="60">
        <f>158*1.4</f>
        <v>221.2</v>
      </c>
      <c r="I14" s="60">
        <f>158*1.4</f>
        <v>221.2</v>
      </c>
      <c r="J14" s="50">
        <f>G14</f>
        <v>158</v>
      </c>
      <c r="K14" s="50">
        <f>J14</f>
        <v>158</v>
      </c>
      <c r="L14" s="50">
        <f>K14</f>
        <v>158</v>
      </c>
      <c r="M14" s="50">
        <f>L14</f>
        <v>158</v>
      </c>
      <c r="N14" s="50"/>
    </row>
    <row r="15" spans="1:22" x14ac:dyDescent="0.25">
      <c r="A15" s="50" t="s">
        <v>64</v>
      </c>
      <c r="B15" s="90">
        <f>K4*1.3</f>
        <v>308.25600000000003</v>
      </c>
      <c r="C15" s="58">
        <f>K4</f>
        <v>237.12</v>
      </c>
      <c r="D15" s="58">
        <f>K4</f>
        <v>237.12</v>
      </c>
      <c r="E15" s="59">
        <f>237*1.2</f>
        <v>284.39999999999998</v>
      </c>
      <c r="F15" s="59">
        <f>237*1.2</f>
        <v>284.39999999999998</v>
      </c>
      <c r="G15" s="50">
        <v>237</v>
      </c>
      <c r="H15" s="61">
        <f>237*1.4</f>
        <v>331.79999999999995</v>
      </c>
      <c r="I15" s="61">
        <f>237*1.4</f>
        <v>331.79999999999995</v>
      </c>
      <c r="J15" s="50">
        <f>G15</f>
        <v>237</v>
      </c>
      <c r="K15" s="50">
        <f>J15</f>
        <v>237</v>
      </c>
      <c r="L15" s="50">
        <f t="shared" ref="L15:M15" si="0">K15</f>
        <v>237</v>
      </c>
      <c r="M15" s="50">
        <f t="shared" si="0"/>
        <v>237</v>
      </c>
      <c r="N15" s="50"/>
    </row>
    <row r="16" spans="1:22" x14ac:dyDescent="0.25">
      <c r="A16" s="50" t="s">
        <v>65</v>
      </c>
      <c r="B16" s="91">
        <f>J3</f>
        <v>15</v>
      </c>
      <c r="C16" s="62">
        <v>15</v>
      </c>
      <c r="D16" s="63">
        <f t="shared" ref="D16:G17" si="1">B16</f>
        <v>15</v>
      </c>
      <c r="E16" s="64">
        <f t="shared" si="1"/>
        <v>15</v>
      </c>
      <c r="F16" s="64">
        <f t="shared" si="1"/>
        <v>15</v>
      </c>
      <c r="G16" s="63">
        <f t="shared" si="1"/>
        <v>15</v>
      </c>
      <c r="H16" s="65">
        <f>15*0.93</f>
        <v>13.950000000000001</v>
      </c>
      <c r="I16" s="65">
        <f>15*0.93</f>
        <v>13.950000000000001</v>
      </c>
      <c r="J16" s="62">
        <f>B16</f>
        <v>15</v>
      </c>
      <c r="K16" s="62">
        <f t="shared" ref="K16:M17" si="2">C16</f>
        <v>15</v>
      </c>
      <c r="L16" s="62">
        <f t="shared" si="2"/>
        <v>15</v>
      </c>
      <c r="M16" s="62">
        <f t="shared" si="2"/>
        <v>15</v>
      </c>
      <c r="N16" s="50"/>
    </row>
    <row r="17" spans="1:18" ht="15.75" thickBot="1" x14ac:dyDescent="0.3">
      <c r="A17" s="50" t="s">
        <v>66</v>
      </c>
      <c r="B17" s="92">
        <f>K3</f>
        <v>25</v>
      </c>
      <c r="C17" s="80">
        <f>B17</f>
        <v>25</v>
      </c>
      <c r="D17" s="81">
        <f t="shared" si="1"/>
        <v>25</v>
      </c>
      <c r="E17" s="82">
        <f t="shared" si="1"/>
        <v>25</v>
      </c>
      <c r="F17" s="82">
        <f t="shared" si="1"/>
        <v>25</v>
      </c>
      <c r="G17" s="81">
        <f t="shared" si="1"/>
        <v>25</v>
      </c>
      <c r="H17" s="83">
        <f>25*0.93</f>
        <v>23.25</v>
      </c>
      <c r="I17" s="83">
        <f>25*0.93</f>
        <v>23.25</v>
      </c>
      <c r="J17" s="80">
        <f>B17</f>
        <v>25</v>
      </c>
      <c r="K17" s="80">
        <f t="shared" si="2"/>
        <v>25</v>
      </c>
      <c r="L17" s="80">
        <f t="shared" si="2"/>
        <v>25</v>
      </c>
      <c r="M17" s="80">
        <f t="shared" si="2"/>
        <v>25</v>
      </c>
      <c r="N17" s="80"/>
      <c r="R17" s="1"/>
    </row>
    <row r="18" spans="1:18" ht="15.75" thickTop="1" x14ac:dyDescent="0.25">
      <c r="A18" s="50" t="s">
        <v>74</v>
      </c>
      <c r="B18" s="93">
        <f>B14*B16+B15*B17</f>
        <v>10788.960000000001</v>
      </c>
      <c r="C18" s="76">
        <f t="shared" ref="C18:M18" si="3">C14*C16+C15*C17</f>
        <v>8299.2000000000007</v>
      </c>
      <c r="D18" s="76">
        <f t="shared" si="3"/>
        <v>8299.2000000000007</v>
      </c>
      <c r="E18" s="77">
        <f t="shared" si="3"/>
        <v>9954</v>
      </c>
      <c r="F18" s="77">
        <f t="shared" si="3"/>
        <v>9954</v>
      </c>
      <c r="G18" s="76">
        <f t="shared" si="3"/>
        <v>8295</v>
      </c>
      <c r="H18" s="78">
        <f t="shared" si="3"/>
        <v>10800.089999999998</v>
      </c>
      <c r="I18" s="78">
        <f t="shared" si="3"/>
        <v>10800.089999999998</v>
      </c>
      <c r="J18" s="76">
        <f t="shared" si="3"/>
        <v>8295</v>
      </c>
      <c r="K18" s="76">
        <f t="shared" si="3"/>
        <v>8295</v>
      </c>
      <c r="L18" s="76">
        <f t="shared" si="3"/>
        <v>8295</v>
      </c>
      <c r="M18" s="76">
        <f t="shared" si="3"/>
        <v>8295</v>
      </c>
      <c r="N18" s="79">
        <f>SUM(B18:M18)</f>
        <v>110370.54</v>
      </c>
    </row>
    <row r="19" spans="1:18" x14ac:dyDescent="0.25">
      <c r="A19" s="66" t="s">
        <v>232</v>
      </c>
      <c r="B19" s="67" t="s">
        <v>112</v>
      </c>
      <c r="C19" s="67"/>
      <c r="D19" s="67"/>
      <c r="E19" s="68" t="s">
        <v>114</v>
      </c>
      <c r="F19" s="68"/>
      <c r="G19" s="68"/>
      <c r="H19" s="69"/>
      <c r="I19" s="69"/>
      <c r="J19" s="69"/>
      <c r="K19" s="69"/>
      <c r="L19" s="69"/>
      <c r="M19" s="69"/>
      <c r="N19" s="70"/>
    </row>
    <row r="20" spans="1:18" x14ac:dyDescent="0.25">
      <c r="A20" s="71"/>
      <c r="B20" s="72" t="s">
        <v>113</v>
      </c>
      <c r="C20" s="72"/>
      <c r="D20" s="72"/>
      <c r="E20" s="73" t="s">
        <v>113</v>
      </c>
      <c r="F20" s="73"/>
      <c r="G20" s="73"/>
      <c r="H20" s="74"/>
      <c r="I20" s="74"/>
      <c r="J20" s="74"/>
      <c r="K20" s="74"/>
      <c r="L20" s="74"/>
      <c r="M20" s="74"/>
      <c r="N20" s="75"/>
    </row>
    <row r="21" spans="1:18" x14ac:dyDescent="0.25">
      <c r="A21" s="84"/>
      <c r="B21" s="85"/>
      <c r="C21" s="85"/>
      <c r="D21" s="85"/>
      <c r="E21" s="85"/>
      <c r="F21" s="86" t="s">
        <v>233</v>
      </c>
      <c r="G21" s="85"/>
      <c r="H21" s="85"/>
      <c r="I21" s="85"/>
      <c r="J21" s="85"/>
      <c r="K21" s="85"/>
      <c r="L21" s="85"/>
      <c r="M21" s="85"/>
      <c r="N21" s="87"/>
      <c r="R21" s="1"/>
    </row>
    <row r="22" spans="1:18" x14ac:dyDescent="0.25">
      <c r="A22" s="50"/>
      <c r="B22" s="52" t="s">
        <v>61</v>
      </c>
      <c r="C22" s="53" t="s">
        <v>154</v>
      </c>
      <c r="D22" s="53" t="s">
        <v>62</v>
      </c>
      <c r="E22" s="54" t="s">
        <v>93</v>
      </c>
      <c r="F22" s="54" t="s">
        <v>94</v>
      </c>
      <c r="G22" s="55" t="s">
        <v>95</v>
      </c>
      <c r="H22" s="56" t="s">
        <v>96</v>
      </c>
      <c r="I22" s="56" t="s">
        <v>97</v>
      </c>
      <c r="J22" s="53" t="s">
        <v>98</v>
      </c>
      <c r="K22" s="53" t="s">
        <v>99</v>
      </c>
      <c r="L22" s="53" t="s">
        <v>100</v>
      </c>
      <c r="M22" s="53" t="s">
        <v>101</v>
      </c>
      <c r="N22" s="53" t="s">
        <v>118</v>
      </c>
    </row>
    <row r="23" spans="1:18" ht="15.75" thickBot="1" x14ac:dyDescent="0.3">
      <c r="A23" s="50" t="s">
        <v>120</v>
      </c>
      <c r="B23" s="80">
        <f>B18</f>
        <v>10788.960000000001</v>
      </c>
      <c r="C23" s="80">
        <f>C18</f>
        <v>8299.2000000000007</v>
      </c>
      <c r="D23" s="80">
        <f>D18</f>
        <v>8299.2000000000007</v>
      </c>
      <c r="E23" s="80">
        <f>E18</f>
        <v>9954</v>
      </c>
      <c r="F23" s="80">
        <f>F18</f>
        <v>9954</v>
      </c>
      <c r="G23" s="80">
        <f>G18</f>
        <v>8295</v>
      </c>
      <c r="H23" s="80">
        <f>H18</f>
        <v>10800.089999999998</v>
      </c>
      <c r="I23" s="80">
        <f>I18</f>
        <v>10800.089999999998</v>
      </c>
      <c r="J23" s="80">
        <f>J18</f>
        <v>8295</v>
      </c>
      <c r="K23" s="80">
        <f>K18</f>
        <v>8295</v>
      </c>
      <c r="L23" s="80">
        <f>L18</f>
        <v>8295</v>
      </c>
      <c r="M23" s="80">
        <f>M18</f>
        <v>8295</v>
      </c>
      <c r="N23" s="80">
        <f>N18</f>
        <v>110370.54</v>
      </c>
    </row>
    <row r="24" spans="1:18" ht="15.75" thickTop="1" x14ac:dyDescent="0.25">
      <c r="A24" s="50" t="s">
        <v>121</v>
      </c>
      <c r="B24" s="79">
        <f>B23</f>
        <v>10788.960000000001</v>
      </c>
      <c r="C24" s="79">
        <f t="shared" ref="C24:N24" si="4">C23</f>
        <v>8299.2000000000007</v>
      </c>
      <c r="D24" s="79">
        <f t="shared" si="4"/>
        <v>8299.2000000000007</v>
      </c>
      <c r="E24" s="79">
        <f t="shared" si="4"/>
        <v>9954</v>
      </c>
      <c r="F24" s="79">
        <f t="shared" si="4"/>
        <v>9954</v>
      </c>
      <c r="G24" s="79">
        <f t="shared" si="4"/>
        <v>8295</v>
      </c>
      <c r="H24" s="79">
        <f t="shared" si="4"/>
        <v>10800.089999999998</v>
      </c>
      <c r="I24" s="79">
        <f t="shared" si="4"/>
        <v>10800.089999999998</v>
      </c>
      <c r="J24" s="79">
        <f t="shared" si="4"/>
        <v>8295</v>
      </c>
      <c r="K24" s="79">
        <f t="shared" si="4"/>
        <v>8295</v>
      </c>
      <c r="L24" s="79">
        <f t="shared" si="4"/>
        <v>8295</v>
      </c>
      <c r="M24" s="79">
        <f t="shared" si="4"/>
        <v>8295</v>
      </c>
      <c r="N24" s="79">
        <f t="shared" si="4"/>
        <v>110370.54</v>
      </c>
    </row>
    <row r="25" spans="1:18" x14ac:dyDescent="0.25">
      <c r="A25" s="88" t="s">
        <v>232</v>
      </c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70"/>
    </row>
    <row r="26" spans="1:18" x14ac:dyDescent="0.25">
      <c r="A26" s="71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5"/>
    </row>
    <row r="27" spans="1:18" x14ac:dyDescent="0.25">
      <c r="A27" s="84"/>
      <c r="B27" s="85"/>
      <c r="C27" s="85"/>
      <c r="D27" s="85"/>
      <c r="E27" s="85"/>
      <c r="F27" s="86" t="s">
        <v>84</v>
      </c>
      <c r="G27" s="85"/>
      <c r="H27" s="85"/>
      <c r="I27" s="85"/>
      <c r="J27" s="85"/>
      <c r="K27" s="85"/>
      <c r="L27" s="85"/>
      <c r="M27" s="85"/>
      <c r="N27" s="87"/>
    </row>
    <row r="28" spans="1:18" x14ac:dyDescent="0.25">
      <c r="A28" s="50"/>
      <c r="B28" s="52" t="s">
        <v>61</v>
      </c>
      <c r="C28" s="53" t="s">
        <v>154</v>
      </c>
      <c r="D28" s="53" t="s">
        <v>62</v>
      </c>
      <c r="E28" s="54" t="s">
        <v>93</v>
      </c>
      <c r="F28" s="54" t="s">
        <v>94</v>
      </c>
      <c r="G28" s="55" t="s">
        <v>95</v>
      </c>
      <c r="H28" s="56" t="s">
        <v>96</v>
      </c>
      <c r="I28" s="56" t="s">
        <v>97</v>
      </c>
      <c r="J28" s="53" t="s">
        <v>98</v>
      </c>
      <c r="K28" s="53" t="s">
        <v>99</v>
      </c>
      <c r="L28" s="53" t="s">
        <v>100</v>
      </c>
      <c r="M28" s="53" t="s">
        <v>101</v>
      </c>
      <c r="N28" s="53" t="s">
        <v>118</v>
      </c>
    </row>
    <row r="29" spans="1:18" x14ac:dyDescent="0.25">
      <c r="A29" s="50" t="s">
        <v>77</v>
      </c>
      <c r="B29" s="57">
        <f>B14</f>
        <v>205.50400000000005</v>
      </c>
      <c r="C29" s="57">
        <f>C14</f>
        <v>158.08000000000004</v>
      </c>
      <c r="D29" s="57">
        <f>D14</f>
        <v>158.08000000000004</v>
      </c>
      <c r="E29" s="57">
        <f>E14</f>
        <v>189.6</v>
      </c>
      <c r="F29" s="57">
        <f>F14</f>
        <v>189.6</v>
      </c>
      <c r="G29" s="57">
        <f>G14</f>
        <v>158</v>
      </c>
      <c r="H29" s="57">
        <f>H14</f>
        <v>221.2</v>
      </c>
      <c r="I29" s="57">
        <f>I14</f>
        <v>221.2</v>
      </c>
      <c r="J29" s="57">
        <f>J14</f>
        <v>158</v>
      </c>
      <c r="K29" s="57">
        <f>K14</f>
        <v>158</v>
      </c>
      <c r="L29" s="57">
        <f>L14</f>
        <v>158</v>
      </c>
      <c r="M29" s="57">
        <f>M14</f>
        <v>158</v>
      </c>
      <c r="N29" s="58">
        <f>SUM(B29:M29)</f>
        <v>2133.2640000000001</v>
      </c>
    </row>
    <row r="30" spans="1:18" x14ac:dyDescent="0.25">
      <c r="A30" s="50" t="s">
        <v>78</v>
      </c>
      <c r="B30" s="57">
        <f>C29*0.1</f>
        <v>15.808000000000005</v>
      </c>
      <c r="C30" s="57">
        <f>D29*0.1</f>
        <v>15.808000000000005</v>
      </c>
      <c r="D30" s="57">
        <f>E29*0.1</f>
        <v>18.96</v>
      </c>
      <c r="E30" s="57">
        <f t="shared" ref="E30:L30" si="5">F29*0.1</f>
        <v>18.96</v>
      </c>
      <c r="F30" s="57">
        <f t="shared" si="5"/>
        <v>15.8</v>
      </c>
      <c r="G30" s="57">
        <f t="shared" si="5"/>
        <v>22.12</v>
      </c>
      <c r="H30" s="57">
        <f t="shared" si="5"/>
        <v>22.12</v>
      </c>
      <c r="I30" s="57">
        <f t="shared" si="5"/>
        <v>15.8</v>
      </c>
      <c r="J30" s="57">
        <f>K29*0.1</f>
        <v>15.8</v>
      </c>
      <c r="K30" s="57">
        <f t="shared" si="5"/>
        <v>15.8</v>
      </c>
      <c r="L30" s="57">
        <f t="shared" si="5"/>
        <v>15.8</v>
      </c>
      <c r="M30" s="50">
        <v>16</v>
      </c>
      <c r="N30" s="57">
        <f>16</f>
        <v>16</v>
      </c>
    </row>
    <row r="31" spans="1:18" x14ac:dyDescent="0.25">
      <c r="A31" s="50" t="s">
        <v>79</v>
      </c>
      <c r="B31" s="57">
        <f>SUM(B29:B30)</f>
        <v>221.31200000000004</v>
      </c>
      <c r="C31" s="57">
        <f t="shared" ref="C31:M31" si="6">SUM(C29:C30)</f>
        <v>173.88800000000003</v>
      </c>
      <c r="D31" s="57">
        <f t="shared" si="6"/>
        <v>177.04000000000005</v>
      </c>
      <c r="E31" s="57">
        <f t="shared" si="6"/>
        <v>208.56</v>
      </c>
      <c r="F31" s="57">
        <f t="shared" si="6"/>
        <v>205.4</v>
      </c>
      <c r="G31" s="57">
        <f t="shared" si="6"/>
        <v>180.12</v>
      </c>
      <c r="H31" s="57">
        <f t="shared" si="6"/>
        <v>243.32</v>
      </c>
      <c r="I31" s="57">
        <f t="shared" si="6"/>
        <v>237</v>
      </c>
      <c r="J31" s="57">
        <f t="shared" si="6"/>
        <v>173.8</v>
      </c>
      <c r="K31" s="57">
        <f t="shared" si="6"/>
        <v>173.8</v>
      </c>
      <c r="L31" s="57">
        <f t="shared" si="6"/>
        <v>173.8</v>
      </c>
      <c r="M31" s="57">
        <f t="shared" si="6"/>
        <v>174</v>
      </c>
      <c r="N31" s="58">
        <f>SUM(B31:M31)</f>
        <v>2342.04</v>
      </c>
      <c r="R31" s="1"/>
    </row>
    <row r="32" spans="1:18" x14ac:dyDescent="0.25">
      <c r="A32" s="50" t="s">
        <v>80</v>
      </c>
      <c r="B32" s="94">
        <v>0</v>
      </c>
      <c r="C32" s="57">
        <f>B30</f>
        <v>15.808000000000005</v>
      </c>
      <c r="D32" s="57">
        <f>C30</f>
        <v>15.808000000000005</v>
      </c>
      <c r="E32" s="57">
        <f t="shared" ref="E32:M32" si="7">D30</f>
        <v>18.96</v>
      </c>
      <c r="F32" s="57">
        <f t="shared" si="7"/>
        <v>18.96</v>
      </c>
      <c r="G32" s="57">
        <f t="shared" si="7"/>
        <v>15.8</v>
      </c>
      <c r="H32" s="57">
        <f t="shared" si="7"/>
        <v>22.12</v>
      </c>
      <c r="I32" s="57">
        <f t="shared" si="7"/>
        <v>22.12</v>
      </c>
      <c r="J32" s="57">
        <f t="shared" si="7"/>
        <v>15.8</v>
      </c>
      <c r="K32" s="57">
        <f t="shared" si="7"/>
        <v>15.8</v>
      </c>
      <c r="L32" s="57">
        <f t="shared" si="7"/>
        <v>15.8</v>
      </c>
      <c r="M32" s="57">
        <f t="shared" si="7"/>
        <v>15.8</v>
      </c>
      <c r="N32" s="50">
        <v>0</v>
      </c>
    </row>
    <row r="33" spans="1:14" x14ac:dyDescent="0.25">
      <c r="A33" s="50" t="s">
        <v>81</v>
      </c>
      <c r="B33" s="57">
        <f>B31-B32</f>
        <v>221.31200000000004</v>
      </c>
      <c r="C33" s="57">
        <f t="shared" ref="C33:M33" si="8">C31-C32</f>
        <v>158.08000000000004</v>
      </c>
      <c r="D33" s="57">
        <f t="shared" si="8"/>
        <v>161.23200000000006</v>
      </c>
      <c r="E33" s="57">
        <f t="shared" si="8"/>
        <v>189.6</v>
      </c>
      <c r="F33" s="57">
        <f t="shared" si="8"/>
        <v>186.44</v>
      </c>
      <c r="G33" s="57">
        <f t="shared" si="8"/>
        <v>164.32</v>
      </c>
      <c r="H33" s="57">
        <f t="shared" si="8"/>
        <v>221.2</v>
      </c>
      <c r="I33" s="57">
        <f t="shared" si="8"/>
        <v>214.88</v>
      </c>
      <c r="J33" s="57">
        <f t="shared" si="8"/>
        <v>158</v>
      </c>
      <c r="K33" s="57">
        <f t="shared" si="8"/>
        <v>158</v>
      </c>
      <c r="L33" s="57">
        <f t="shared" si="8"/>
        <v>158</v>
      </c>
      <c r="M33" s="57">
        <f t="shared" si="8"/>
        <v>158.19999999999999</v>
      </c>
      <c r="N33" s="58">
        <f>SUM(B33:M33)</f>
        <v>2149.2640000000001</v>
      </c>
    </row>
    <row r="34" spans="1:14" x14ac:dyDescent="0.25">
      <c r="A34" s="88" t="s">
        <v>86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70"/>
    </row>
    <row r="35" spans="1:14" x14ac:dyDescent="0.25">
      <c r="A35" s="71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5"/>
    </row>
    <row r="36" spans="1:14" x14ac:dyDescent="0.25">
      <c r="A36" s="84"/>
      <c r="B36" s="85"/>
      <c r="C36" s="85"/>
      <c r="D36" s="85"/>
      <c r="E36" s="85"/>
      <c r="F36" s="86" t="s">
        <v>85</v>
      </c>
      <c r="G36" s="85"/>
      <c r="H36" s="85"/>
      <c r="I36" s="85"/>
      <c r="J36" s="85"/>
      <c r="K36" s="85"/>
      <c r="L36" s="85"/>
      <c r="M36" s="85"/>
      <c r="N36" s="87"/>
    </row>
    <row r="37" spans="1:14" x14ac:dyDescent="0.25">
      <c r="A37" s="50"/>
      <c r="B37" s="52" t="s">
        <v>61</v>
      </c>
      <c r="C37" s="53" t="s">
        <v>154</v>
      </c>
      <c r="D37" s="53" t="s">
        <v>62</v>
      </c>
      <c r="E37" s="54" t="s">
        <v>93</v>
      </c>
      <c r="F37" s="54" t="s">
        <v>94</v>
      </c>
      <c r="G37" s="55" t="s">
        <v>95</v>
      </c>
      <c r="H37" s="56" t="s">
        <v>96</v>
      </c>
      <c r="I37" s="56" t="s">
        <v>97</v>
      </c>
      <c r="J37" s="53" t="s">
        <v>98</v>
      </c>
      <c r="K37" s="53" t="s">
        <v>99</v>
      </c>
      <c r="L37" s="53" t="s">
        <v>100</v>
      </c>
      <c r="M37" s="53" t="s">
        <v>101</v>
      </c>
      <c r="N37" s="53" t="s">
        <v>118</v>
      </c>
    </row>
    <row r="38" spans="1:14" x14ac:dyDescent="0.25">
      <c r="A38" s="50" t="s">
        <v>77</v>
      </c>
      <c r="B38" s="58">
        <f>B15</f>
        <v>308.25600000000003</v>
      </c>
      <c r="C38" s="58">
        <f>C15</f>
        <v>237.12</v>
      </c>
      <c r="D38" s="58">
        <f>D15</f>
        <v>237.12</v>
      </c>
      <c r="E38" s="58">
        <f>E15</f>
        <v>284.39999999999998</v>
      </c>
      <c r="F38" s="58">
        <f>F15</f>
        <v>284.39999999999998</v>
      </c>
      <c r="G38" s="58">
        <f>G15</f>
        <v>237</v>
      </c>
      <c r="H38" s="58">
        <f>H15</f>
        <v>331.79999999999995</v>
      </c>
      <c r="I38" s="58">
        <f>I15</f>
        <v>331.79999999999995</v>
      </c>
      <c r="J38" s="58">
        <f>J15</f>
        <v>237</v>
      </c>
      <c r="K38" s="58">
        <f>K15</f>
        <v>237</v>
      </c>
      <c r="L38" s="58">
        <f>L15</f>
        <v>237</v>
      </c>
      <c r="M38" s="58">
        <f>M15</f>
        <v>237</v>
      </c>
      <c r="N38" s="58"/>
    </row>
    <row r="39" spans="1:14" x14ac:dyDescent="0.25">
      <c r="A39" s="50" t="s">
        <v>78</v>
      </c>
      <c r="B39" s="58">
        <f>C38*0.08</f>
        <v>18.9696</v>
      </c>
      <c r="C39" s="58">
        <f t="shared" ref="C39:L39" si="9">D38*0.08</f>
        <v>18.9696</v>
      </c>
      <c r="D39" s="58">
        <f t="shared" si="9"/>
        <v>22.751999999999999</v>
      </c>
      <c r="E39" s="58">
        <f t="shared" si="9"/>
        <v>22.751999999999999</v>
      </c>
      <c r="F39" s="58">
        <f t="shared" si="9"/>
        <v>18.96</v>
      </c>
      <c r="G39" s="58">
        <f t="shared" si="9"/>
        <v>26.543999999999997</v>
      </c>
      <c r="H39" s="58">
        <f t="shared" si="9"/>
        <v>26.543999999999997</v>
      </c>
      <c r="I39" s="58">
        <f t="shared" si="9"/>
        <v>18.96</v>
      </c>
      <c r="J39" s="58">
        <f t="shared" si="9"/>
        <v>18.96</v>
      </c>
      <c r="K39" s="58">
        <f t="shared" si="9"/>
        <v>18.96</v>
      </c>
      <c r="L39" s="58">
        <f t="shared" si="9"/>
        <v>18.96</v>
      </c>
      <c r="M39" s="58">
        <v>19</v>
      </c>
      <c r="N39" s="50"/>
    </row>
    <row r="40" spans="1:14" x14ac:dyDescent="0.25">
      <c r="A40" s="50" t="s">
        <v>79</v>
      </c>
      <c r="B40" s="58">
        <f>SUM(B38:B39)</f>
        <v>327.22560000000004</v>
      </c>
      <c r="C40" s="58">
        <f t="shared" ref="C40:M40" si="10">SUM(C38:C39)</f>
        <v>256.08960000000002</v>
      </c>
      <c r="D40" s="58">
        <f t="shared" si="10"/>
        <v>259.87200000000001</v>
      </c>
      <c r="E40" s="58">
        <f t="shared" si="10"/>
        <v>307.15199999999999</v>
      </c>
      <c r="F40" s="58">
        <f t="shared" si="10"/>
        <v>303.35999999999996</v>
      </c>
      <c r="G40" s="58">
        <f t="shared" si="10"/>
        <v>263.54399999999998</v>
      </c>
      <c r="H40" s="58">
        <f t="shared" si="10"/>
        <v>358.34399999999994</v>
      </c>
      <c r="I40" s="58">
        <f t="shared" si="10"/>
        <v>350.75999999999993</v>
      </c>
      <c r="J40" s="58">
        <f t="shared" si="10"/>
        <v>255.96</v>
      </c>
      <c r="K40" s="58">
        <f t="shared" si="10"/>
        <v>255.96</v>
      </c>
      <c r="L40" s="58">
        <f t="shared" si="10"/>
        <v>255.96</v>
      </c>
      <c r="M40" s="58">
        <f t="shared" si="10"/>
        <v>256</v>
      </c>
      <c r="N40" s="50"/>
    </row>
    <row r="41" spans="1:14" x14ac:dyDescent="0.25">
      <c r="A41" s="50" t="s">
        <v>80</v>
      </c>
      <c r="B41" s="95">
        <f>0</f>
        <v>0</v>
      </c>
      <c r="C41" s="58">
        <f>B39</f>
        <v>18.9696</v>
      </c>
      <c r="D41" s="58">
        <f t="shared" ref="D41:M41" si="11">C39</f>
        <v>18.9696</v>
      </c>
      <c r="E41" s="58">
        <f t="shared" si="11"/>
        <v>22.751999999999999</v>
      </c>
      <c r="F41" s="58">
        <f t="shared" si="11"/>
        <v>22.751999999999999</v>
      </c>
      <c r="G41" s="58">
        <f t="shared" si="11"/>
        <v>18.96</v>
      </c>
      <c r="H41" s="58">
        <f t="shared" si="11"/>
        <v>26.543999999999997</v>
      </c>
      <c r="I41" s="58">
        <f t="shared" si="11"/>
        <v>26.543999999999997</v>
      </c>
      <c r="J41" s="58">
        <f t="shared" si="11"/>
        <v>18.96</v>
      </c>
      <c r="K41" s="58">
        <f t="shared" si="11"/>
        <v>18.96</v>
      </c>
      <c r="L41" s="58">
        <f t="shared" si="11"/>
        <v>18.96</v>
      </c>
      <c r="M41" s="58">
        <f t="shared" si="11"/>
        <v>18.96</v>
      </c>
      <c r="N41" s="50"/>
    </row>
    <row r="42" spans="1:14" x14ac:dyDescent="0.25">
      <c r="A42" s="50" t="s">
        <v>81</v>
      </c>
      <c r="B42" s="58">
        <f>B40-B41</f>
        <v>327.22560000000004</v>
      </c>
      <c r="C42" s="58">
        <f t="shared" ref="C42:M42" si="12">C40-C41</f>
        <v>237.12</v>
      </c>
      <c r="D42" s="58">
        <f t="shared" si="12"/>
        <v>240.9024</v>
      </c>
      <c r="E42" s="58">
        <f t="shared" si="12"/>
        <v>284.39999999999998</v>
      </c>
      <c r="F42" s="58">
        <f t="shared" si="12"/>
        <v>280.60799999999995</v>
      </c>
      <c r="G42" s="58">
        <f t="shared" si="12"/>
        <v>244.58399999999997</v>
      </c>
      <c r="H42" s="58">
        <f t="shared" si="12"/>
        <v>331.79999999999995</v>
      </c>
      <c r="I42" s="58">
        <f t="shared" si="12"/>
        <v>324.21599999999995</v>
      </c>
      <c r="J42" s="58">
        <f t="shared" si="12"/>
        <v>237</v>
      </c>
      <c r="K42" s="58">
        <f t="shared" si="12"/>
        <v>237</v>
      </c>
      <c r="L42" s="58">
        <f t="shared" si="12"/>
        <v>237</v>
      </c>
      <c r="M42" s="58">
        <f t="shared" si="12"/>
        <v>237.04</v>
      </c>
      <c r="N42" s="50"/>
    </row>
    <row r="43" spans="1:14" x14ac:dyDescent="0.25">
      <c r="A43" s="96" t="s">
        <v>107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70"/>
    </row>
    <row r="44" spans="1:14" x14ac:dyDescent="0.25">
      <c r="A44" s="74" t="s">
        <v>108</v>
      </c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5"/>
    </row>
    <row r="45" spans="1:14" x14ac:dyDescent="0.25">
      <c r="A45" s="84"/>
      <c r="B45" s="85"/>
      <c r="C45" s="85"/>
      <c r="D45" s="85"/>
      <c r="E45" s="85"/>
      <c r="F45" s="86" t="s">
        <v>102</v>
      </c>
      <c r="G45" s="85"/>
      <c r="H45" s="85"/>
      <c r="I45" s="85"/>
      <c r="J45" s="85"/>
      <c r="K45" s="85"/>
      <c r="L45" s="85"/>
      <c r="M45" s="85"/>
      <c r="N45" s="87"/>
    </row>
    <row r="46" spans="1:14" x14ac:dyDescent="0.25">
      <c r="A46" s="50"/>
      <c r="B46" s="52" t="s">
        <v>61</v>
      </c>
      <c r="C46" s="53" t="s">
        <v>154</v>
      </c>
      <c r="D46" s="53" t="s">
        <v>62</v>
      </c>
      <c r="E46" s="54" t="s">
        <v>93</v>
      </c>
      <c r="F46" s="54" t="s">
        <v>94</v>
      </c>
      <c r="G46" s="55" t="s">
        <v>95</v>
      </c>
      <c r="H46" s="56" t="s">
        <v>96</v>
      </c>
      <c r="I46" s="56" t="s">
        <v>97</v>
      </c>
      <c r="J46" s="53" t="s">
        <v>98</v>
      </c>
      <c r="K46" s="53" t="s">
        <v>99</v>
      </c>
      <c r="L46" s="53" t="s">
        <v>100</v>
      </c>
      <c r="M46" s="53" t="s">
        <v>101</v>
      </c>
      <c r="N46" s="53" t="s">
        <v>118</v>
      </c>
    </row>
    <row r="47" spans="1:14" x14ac:dyDescent="0.25">
      <c r="A47" s="50" t="s">
        <v>82</v>
      </c>
      <c r="B47" s="58">
        <f>B33</f>
        <v>221.31200000000004</v>
      </c>
      <c r="C47" s="58">
        <f>C33</f>
        <v>158.08000000000004</v>
      </c>
      <c r="D47" s="58">
        <f>D33</f>
        <v>161.23200000000006</v>
      </c>
      <c r="E47" s="58">
        <f>E33</f>
        <v>189.6</v>
      </c>
      <c r="F47" s="58">
        <f>F33</f>
        <v>186.44</v>
      </c>
      <c r="G47" s="58">
        <f>G33</f>
        <v>164.32</v>
      </c>
      <c r="H47" s="58">
        <f>H33</f>
        <v>221.2</v>
      </c>
      <c r="I47" s="58">
        <f>I33</f>
        <v>214.88</v>
      </c>
      <c r="J47" s="58">
        <f>J33</f>
        <v>158</v>
      </c>
      <c r="K47" s="58">
        <f>K33</f>
        <v>158</v>
      </c>
      <c r="L47" s="58">
        <f>L33</f>
        <v>158</v>
      </c>
      <c r="M47" s="58">
        <f>M33</f>
        <v>158.19999999999999</v>
      </c>
      <c r="N47" s="50"/>
    </row>
    <row r="48" spans="1:14" x14ac:dyDescent="0.25">
      <c r="A48" s="50" t="s">
        <v>91</v>
      </c>
      <c r="B48" s="50">
        <v>1</v>
      </c>
      <c r="C48" s="50">
        <v>1</v>
      </c>
      <c r="D48" s="50">
        <v>1</v>
      </c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/>
    </row>
    <row r="49" spans="1:14" x14ac:dyDescent="0.25">
      <c r="A49" s="50" t="s">
        <v>87</v>
      </c>
      <c r="B49" s="58">
        <f>B47*B48</f>
        <v>221.31200000000004</v>
      </c>
      <c r="C49" s="58">
        <f t="shared" ref="C49:M49" si="13">C47*C48</f>
        <v>158.08000000000004</v>
      </c>
      <c r="D49" s="58">
        <f t="shared" si="13"/>
        <v>161.23200000000006</v>
      </c>
      <c r="E49" s="58">
        <f t="shared" si="13"/>
        <v>189.6</v>
      </c>
      <c r="F49" s="58">
        <f t="shared" si="13"/>
        <v>186.44</v>
      </c>
      <c r="G49" s="58">
        <f t="shared" si="13"/>
        <v>164.32</v>
      </c>
      <c r="H49" s="58">
        <f t="shared" si="13"/>
        <v>221.2</v>
      </c>
      <c r="I49" s="58">
        <f t="shared" si="13"/>
        <v>214.88</v>
      </c>
      <c r="J49" s="58">
        <f t="shared" si="13"/>
        <v>158</v>
      </c>
      <c r="K49" s="58">
        <f t="shared" si="13"/>
        <v>158</v>
      </c>
      <c r="L49" s="58">
        <f t="shared" si="13"/>
        <v>158</v>
      </c>
      <c r="M49" s="58">
        <f t="shared" si="13"/>
        <v>158.19999999999999</v>
      </c>
      <c r="N49" s="50"/>
    </row>
    <row r="50" spans="1:14" x14ac:dyDescent="0.25">
      <c r="A50" s="50" t="s">
        <v>88</v>
      </c>
      <c r="B50" s="58">
        <f>C49*0.1</f>
        <v>15.808000000000005</v>
      </c>
      <c r="C50" s="58">
        <f t="shared" ref="C50:L50" si="14">D49*0.1</f>
        <v>16.123200000000008</v>
      </c>
      <c r="D50" s="58">
        <f t="shared" si="14"/>
        <v>18.96</v>
      </c>
      <c r="E50" s="58">
        <f t="shared" si="14"/>
        <v>18.644000000000002</v>
      </c>
      <c r="F50" s="58">
        <f t="shared" si="14"/>
        <v>16.431999999999999</v>
      </c>
      <c r="G50" s="58">
        <f t="shared" si="14"/>
        <v>22.12</v>
      </c>
      <c r="H50" s="58">
        <f t="shared" si="14"/>
        <v>21.488</v>
      </c>
      <c r="I50" s="58">
        <f t="shared" si="14"/>
        <v>15.8</v>
      </c>
      <c r="J50" s="58">
        <f t="shared" si="14"/>
        <v>15.8</v>
      </c>
      <c r="K50" s="58">
        <f t="shared" si="14"/>
        <v>15.8</v>
      </c>
      <c r="L50" s="58">
        <f t="shared" si="14"/>
        <v>15.82</v>
      </c>
      <c r="M50" s="58">
        <f>16</f>
        <v>16</v>
      </c>
      <c r="N50" s="50"/>
    </row>
    <row r="51" spans="1:14" x14ac:dyDescent="0.25">
      <c r="A51" s="50" t="s">
        <v>89</v>
      </c>
      <c r="B51" s="58">
        <f>SUM(B49:B50)</f>
        <v>237.12000000000003</v>
      </c>
      <c r="C51" s="58">
        <f t="shared" ref="C51:M51" si="15">SUM(C49:C50)</f>
        <v>174.20320000000004</v>
      </c>
      <c r="D51" s="58">
        <f t="shared" si="15"/>
        <v>180.19200000000006</v>
      </c>
      <c r="E51" s="58">
        <f t="shared" si="15"/>
        <v>208.244</v>
      </c>
      <c r="F51" s="58">
        <f t="shared" si="15"/>
        <v>202.87199999999999</v>
      </c>
      <c r="G51" s="58">
        <f t="shared" si="15"/>
        <v>186.44</v>
      </c>
      <c r="H51" s="58">
        <f t="shared" si="15"/>
        <v>242.68799999999999</v>
      </c>
      <c r="I51" s="58">
        <f t="shared" si="15"/>
        <v>230.68</v>
      </c>
      <c r="J51" s="58">
        <f t="shared" si="15"/>
        <v>173.8</v>
      </c>
      <c r="K51" s="58">
        <f t="shared" si="15"/>
        <v>173.8</v>
      </c>
      <c r="L51" s="58">
        <f t="shared" si="15"/>
        <v>173.82</v>
      </c>
      <c r="M51" s="58">
        <f t="shared" si="15"/>
        <v>174.2</v>
      </c>
      <c r="N51" s="50"/>
    </row>
    <row r="52" spans="1:14" x14ac:dyDescent="0.25">
      <c r="A52" s="50" t="s">
        <v>90</v>
      </c>
      <c r="B52" s="50">
        <f>0</f>
        <v>0</v>
      </c>
      <c r="C52" s="58">
        <f>B50</f>
        <v>15.808000000000005</v>
      </c>
      <c r="D52" s="58">
        <f>C50</f>
        <v>16.123200000000008</v>
      </c>
      <c r="E52" s="58">
        <f>D50</f>
        <v>18.96</v>
      </c>
      <c r="F52" s="58">
        <f t="shared" ref="F52:M52" si="16">E50</f>
        <v>18.644000000000002</v>
      </c>
      <c r="G52" s="58">
        <f t="shared" si="16"/>
        <v>16.431999999999999</v>
      </c>
      <c r="H52" s="58">
        <f t="shared" si="16"/>
        <v>22.12</v>
      </c>
      <c r="I52" s="58">
        <f t="shared" si="16"/>
        <v>21.488</v>
      </c>
      <c r="J52" s="58">
        <f t="shared" si="16"/>
        <v>15.8</v>
      </c>
      <c r="K52" s="58">
        <f t="shared" si="16"/>
        <v>15.8</v>
      </c>
      <c r="L52" s="58">
        <f t="shared" si="16"/>
        <v>15.8</v>
      </c>
      <c r="M52" s="58">
        <f t="shared" si="16"/>
        <v>15.82</v>
      </c>
      <c r="N52" s="50"/>
    </row>
    <row r="53" spans="1:14" x14ac:dyDescent="0.25">
      <c r="A53" s="50" t="s">
        <v>111</v>
      </c>
      <c r="B53" s="58">
        <f>B51-B52</f>
        <v>237.12000000000003</v>
      </c>
      <c r="C53" s="58">
        <f t="shared" ref="C53:L53" si="17">C51-C52</f>
        <v>158.39520000000005</v>
      </c>
      <c r="D53" s="58">
        <f t="shared" si="17"/>
        <v>164.06880000000007</v>
      </c>
      <c r="E53" s="58">
        <f t="shared" si="17"/>
        <v>189.28399999999999</v>
      </c>
      <c r="F53" s="58">
        <f t="shared" si="17"/>
        <v>184.22799999999998</v>
      </c>
      <c r="G53" s="58">
        <f t="shared" si="17"/>
        <v>170.00800000000001</v>
      </c>
      <c r="H53" s="58">
        <f t="shared" si="17"/>
        <v>220.56799999999998</v>
      </c>
      <c r="I53" s="58">
        <f t="shared" si="17"/>
        <v>209.19200000000001</v>
      </c>
      <c r="J53" s="58">
        <f t="shared" si="17"/>
        <v>158</v>
      </c>
      <c r="K53" s="58">
        <f t="shared" si="17"/>
        <v>158</v>
      </c>
      <c r="L53" s="58">
        <f t="shared" si="17"/>
        <v>158.01999999999998</v>
      </c>
      <c r="M53" s="58">
        <v>158</v>
      </c>
      <c r="N53" s="50"/>
    </row>
    <row r="54" spans="1:14" x14ac:dyDescent="0.25">
      <c r="A54" s="50" t="s">
        <v>189</v>
      </c>
      <c r="B54" s="97">
        <f>B53*5</f>
        <v>1185.6000000000001</v>
      </c>
      <c r="C54" s="97">
        <f t="shared" ref="C54:M54" si="18">C53*5</f>
        <v>791.97600000000023</v>
      </c>
      <c r="D54" s="97">
        <f t="shared" si="18"/>
        <v>820.34400000000028</v>
      </c>
      <c r="E54" s="97">
        <f t="shared" si="18"/>
        <v>946.42</v>
      </c>
      <c r="F54" s="97">
        <f t="shared" si="18"/>
        <v>921.13999999999987</v>
      </c>
      <c r="G54" s="97">
        <f t="shared" si="18"/>
        <v>850.04000000000008</v>
      </c>
      <c r="H54" s="97">
        <f t="shared" si="18"/>
        <v>1102.8399999999999</v>
      </c>
      <c r="I54" s="97">
        <f t="shared" si="18"/>
        <v>1045.96</v>
      </c>
      <c r="J54" s="97">
        <f t="shared" si="18"/>
        <v>790</v>
      </c>
      <c r="K54" s="97">
        <f t="shared" si="18"/>
        <v>790</v>
      </c>
      <c r="L54" s="97">
        <f t="shared" si="18"/>
        <v>790.09999999999991</v>
      </c>
      <c r="M54" s="97">
        <f t="shared" si="18"/>
        <v>790</v>
      </c>
      <c r="N54" s="50"/>
    </row>
    <row r="55" spans="1:14" x14ac:dyDescent="0.25">
      <c r="A55" s="98" t="s">
        <v>234</v>
      </c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70"/>
    </row>
    <row r="56" spans="1:14" x14ac:dyDescent="0.25">
      <c r="A56" s="71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5"/>
    </row>
    <row r="57" spans="1:14" ht="15.75" x14ac:dyDescent="0.25">
      <c r="A57" s="84"/>
      <c r="B57" s="99" t="s">
        <v>182</v>
      </c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7"/>
    </row>
    <row r="58" spans="1:14" x14ac:dyDescent="0.25">
      <c r="A58" s="50"/>
      <c r="B58" s="52" t="s">
        <v>61</v>
      </c>
      <c r="C58" s="53" t="s">
        <v>154</v>
      </c>
      <c r="D58" s="53" t="s">
        <v>62</v>
      </c>
      <c r="E58" s="54" t="s">
        <v>93</v>
      </c>
      <c r="F58" s="54" t="s">
        <v>94</v>
      </c>
      <c r="G58" s="55" t="s">
        <v>95</v>
      </c>
      <c r="H58" s="56" t="s">
        <v>96</v>
      </c>
      <c r="I58" s="56" t="s">
        <v>97</v>
      </c>
      <c r="J58" s="53" t="s">
        <v>98</v>
      </c>
      <c r="K58" s="53" t="s">
        <v>99</v>
      </c>
      <c r="L58" s="53" t="s">
        <v>100</v>
      </c>
      <c r="M58" s="53" t="s">
        <v>101</v>
      </c>
      <c r="N58" s="53" t="s">
        <v>118</v>
      </c>
    </row>
    <row r="59" spans="1:14" x14ac:dyDescent="0.25">
      <c r="A59" s="50" t="s">
        <v>153</v>
      </c>
      <c r="B59" s="62">
        <f>B54*0.5</f>
        <v>592.80000000000007</v>
      </c>
      <c r="C59" s="97">
        <f>B59</f>
        <v>592.80000000000007</v>
      </c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>
        <f>SUM(B59:M59)</f>
        <v>1185.6000000000001</v>
      </c>
    </row>
    <row r="60" spans="1:14" x14ac:dyDescent="0.25">
      <c r="A60" s="50" t="s">
        <v>154</v>
      </c>
      <c r="B60" s="53"/>
      <c r="C60" s="62">
        <f>C54*0.5</f>
        <v>395.98800000000011</v>
      </c>
      <c r="D60" s="62">
        <f>C60</f>
        <v>395.98800000000011</v>
      </c>
      <c r="E60" s="50"/>
      <c r="F60" s="50"/>
      <c r="G60" s="50"/>
      <c r="H60" s="50"/>
      <c r="I60" s="50"/>
      <c r="J60" s="50"/>
      <c r="K60" s="50"/>
      <c r="L60" s="50"/>
      <c r="M60" s="50"/>
      <c r="N60" s="97">
        <f t="shared" ref="N60:N71" si="19">SUM(B60:M60)</f>
        <v>791.97600000000023</v>
      </c>
    </row>
    <row r="61" spans="1:14" x14ac:dyDescent="0.25">
      <c r="A61" s="50" t="s">
        <v>155</v>
      </c>
      <c r="B61" s="50"/>
      <c r="C61" s="50"/>
      <c r="D61" s="62">
        <f>D54*0.5</f>
        <v>410.17200000000014</v>
      </c>
      <c r="E61" s="62">
        <f>D61</f>
        <v>410.17200000000014</v>
      </c>
      <c r="F61" s="50"/>
      <c r="G61" s="50"/>
      <c r="H61" s="50"/>
      <c r="I61" s="50"/>
      <c r="J61" s="50"/>
      <c r="K61" s="50"/>
      <c r="L61" s="50"/>
      <c r="M61" s="50"/>
      <c r="N61" s="97">
        <f t="shared" si="19"/>
        <v>820.34400000000028</v>
      </c>
    </row>
    <row r="62" spans="1:14" x14ac:dyDescent="0.25">
      <c r="A62" s="50" t="s">
        <v>93</v>
      </c>
      <c r="B62" s="50"/>
      <c r="C62" s="50"/>
      <c r="D62" s="50"/>
      <c r="E62" s="62">
        <f>E54*0.5</f>
        <v>473.21</v>
      </c>
      <c r="F62" s="62">
        <f>E62</f>
        <v>473.21</v>
      </c>
      <c r="G62" s="50"/>
      <c r="H62" s="50"/>
      <c r="I62" s="50"/>
      <c r="J62" s="50"/>
      <c r="K62" s="50"/>
      <c r="L62" s="50"/>
      <c r="M62" s="50"/>
      <c r="N62" s="97">
        <f t="shared" si="19"/>
        <v>946.42</v>
      </c>
    </row>
    <row r="63" spans="1:14" x14ac:dyDescent="0.25">
      <c r="A63" s="50" t="s">
        <v>94</v>
      </c>
      <c r="B63" s="50"/>
      <c r="C63" s="50"/>
      <c r="D63" s="50"/>
      <c r="E63" s="50"/>
      <c r="F63" s="62">
        <f>F54*0.5</f>
        <v>460.56999999999994</v>
      </c>
      <c r="G63" s="62">
        <f>F63</f>
        <v>460.56999999999994</v>
      </c>
      <c r="H63" s="50"/>
      <c r="I63" s="50"/>
      <c r="J63" s="50"/>
      <c r="K63" s="50"/>
      <c r="L63" s="50"/>
      <c r="M63" s="50"/>
      <c r="N63" s="97">
        <f t="shared" si="19"/>
        <v>921.13999999999987</v>
      </c>
    </row>
    <row r="64" spans="1:14" x14ac:dyDescent="0.25">
      <c r="A64" s="50" t="s">
        <v>95</v>
      </c>
      <c r="B64" s="50"/>
      <c r="C64" s="50"/>
      <c r="D64" s="50"/>
      <c r="E64" s="50"/>
      <c r="F64" s="50"/>
      <c r="G64" s="62">
        <f>G54*0.5</f>
        <v>425.02000000000004</v>
      </c>
      <c r="H64" s="62">
        <f>G64</f>
        <v>425.02000000000004</v>
      </c>
      <c r="I64" s="50"/>
      <c r="J64" s="50"/>
      <c r="K64" s="50"/>
      <c r="L64" s="50"/>
      <c r="M64" s="50"/>
      <c r="N64" s="97">
        <f t="shared" si="19"/>
        <v>850.04000000000008</v>
      </c>
    </row>
    <row r="65" spans="1:14" x14ac:dyDescent="0.25">
      <c r="A65" s="50" t="s">
        <v>156</v>
      </c>
      <c r="B65" s="50"/>
      <c r="C65" s="50"/>
      <c r="D65" s="50"/>
      <c r="E65" s="50"/>
      <c r="F65" s="50"/>
      <c r="G65" s="50"/>
      <c r="H65" s="62">
        <f>H54*0.5</f>
        <v>551.41999999999996</v>
      </c>
      <c r="I65" s="62">
        <f>H65</f>
        <v>551.41999999999996</v>
      </c>
      <c r="J65" s="50"/>
      <c r="K65" s="50"/>
      <c r="L65" s="50"/>
      <c r="M65" s="50"/>
      <c r="N65" s="97">
        <f t="shared" si="19"/>
        <v>1102.8399999999999</v>
      </c>
    </row>
    <row r="66" spans="1:14" x14ac:dyDescent="0.25">
      <c r="A66" s="50" t="s">
        <v>97</v>
      </c>
      <c r="B66" s="50"/>
      <c r="C66" s="50"/>
      <c r="D66" s="50"/>
      <c r="E66" s="50"/>
      <c r="F66" s="50"/>
      <c r="G66" s="50"/>
      <c r="H66" s="50"/>
      <c r="I66" s="62">
        <f>I54*0.5</f>
        <v>522.98</v>
      </c>
      <c r="J66" s="62">
        <f>I66</f>
        <v>522.98</v>
      </c>
      <c r="K66" s="50"/>
      <c r="L66" s="50"/>
      <c r="M66" s="50"/>
      <c r="N66" s="97">
        <f t="shared" si="19"/>
        <v>1045.96</v>
      </c>
    </row>
    <row r="67" spans="1:14" x14ac:dyDescent="0.25">
      <c r="A67" s="50" t="s">
        <v>98</v>
      </c>
      <c r="B67" s="50"/>
      <c r="C67" s="50"/>
      <c r="D67" s="50"/>
      <c r="E67" s="50"/>
      <c r="F67" s="50"/>
      <c r="G67" s="50"/>
      <c r="H67" s="50"/>
      <c r="I67" s="50"/>
      <c r="J67" s="62">
        <f>J54*0.5</f>
        <v>395</v>
      </c>
      <c r="K67" s="62">
        <f>J67</f>
        <v>395</v>
      </c>
      <c r="L67" s="50"/>
      <c r="M67" s="50"/>
      <c r="N67" s="97">
        <f t="shared" si="19"/>
        <v>790</v>
      </c>
    </row>
    <row r="68" spans="1:14" x14ac:dyDescent="0.25">
      <c r="A68" s="50" t="s">
        <v>99</v>
      </c>
      <c r="B68" s="50"/>
      <c r="C68" s="50"/>
      <c r="D68" s="50"/>
      <c r="E68" s="50"/>
      <c r="F68" s="50"/>
      <c r="G68" s="50"/>
      <c r="H68" s="50"/>
      <c r="I68" s="50"/>
      <c r="J68" s="50"/>
      <c r="K68" s="62">
        <f>K54*0.5</f>
        <v>395</v>
      </c>
      <c r="L68" s="62">
        <f>K68</f>
        <v>395</v>
      </c>
      <c r="M68" s="50"/>
      <c r="N68" s="97">
        <f t="shared" si="19"/>
        <v>790</v>
      </c>
    </row>
    <row r="69" spans="1:14" x14ac:dyDescent="0.25">
      <c r="A69" s="50" t="s">
        <v>100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62">
        <f>L54*0.5</f>
        <v>395.04999999999995</v>
      </c>
      <c r="M69" s="62">
        <f>L69</f>
        <v>395.04999999999995</v>
      </c>
      <c r="N69" s="97">
        <f t="shared" si="19"/>
        <v>790.09999999999991</v>
      </c>
    </row>
    <row r="70" spans="1:14" x14ac:dyDescent="0.25">
      <c r="A70" s="50" t="s">
        <v>101</v>
      </c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62">
        <f>M54*0.5</f>
        <v>395</v>
      </c>
      <c r="N70" s="97">
        <f t="shared" si="19"/>
        <v>395</v>
      </c>
    </row>
    <row r="71" spans="1:14" x14ac:dyDescent="0.25">
      <c r="A71" s="50" t="s">
        <v>157</v>
      </c>
      <c r="B71" s="62">
        <f>SUM(B59:B70)</f>
        <v>592.80000000000007</v>
      </c>
      <c r="C71" s="62">
        <f t="shared" ref="C71:M71" si="20">SUM(C59:C70)</f>
        <v>988.78800000000024</v>
      </c>
      <c r="D71" s="62">
        <f t="shared" si="20"/>
        <v>806.16000000000031</v>
      </c>
      <c r="E71" s="62">
        <f t="shared" si="20"/>
        <v>883.38200000000006</v>
      </c>
      <c r="F71" s="62">
        <f t="shared" si="20"/>
        <v>933.78</v>
      </c>
      <c r="G71" s="62">
        <f t="shared" si="20"/>
        <v>885.58999999999992</v>
      </c>
      <c r="H71" s="62">
        <f t="shared" si="20"/>
        <v>976.44</v>
      </c>
      <c r="I71" s="62">
        <f t="shared" si="20"/>
        <v>1074.4000000000001</v>
      </c>
      <c r="J71" s="62">
        <f t="shared" si="20"/>
        <v>917.98</v>
      </c>
      <c r="K71" s="62">
        <f t="shared" si="20"/>
        <v>790</v>
      </c>
      <c r="L71" s="62">
        <f t="shared" si="20"/>
        <v>790.05</v>
      </c>
      <c r="M71" s="62">
        <f t="shared" si="20"/>
        <v>790.05</v>
      </c>
      <c r="N71" s="97">
        <f t="shared" si="19"/>
        <v>10429.419999999998</v>
      </c>
    </row>
    <row r="72" spans="1:14" x14ac:dyDescent="0.25">
      <c r="F72" s="1" t="s">
        <v>123</v>
      </c>
    </row>
    <row r="73" spans="1:14" x14ac:dyDescent="0.25">
      <c r="A73" s="50"/>
      <c r="B73" s="52" t="s">
        <v>61</v>
      </c>
      <c r="C73" s="53" t="s">
        <v>154</v>
      </c>
      <c r="D73" s="53" t="s">
        <v>62</v>
      </c>
      <c r="E73" s="54" t="s">
        <v>93</v>
      </c>
      <c r="F73" s="54" t="s">
        <v>94</v>
      </c>
      <c r="G73" s="55" t="s">
        <v>95</v>
      </c>
      <c r="H73" s="56" t="s">
        <v>96</v>
      </c>
      <c r="I73" s="56" t="s">
        <v>97</v>
      </c>
      <c r="J73" s="53" t="s">
        <v>98</v>
      </c>
      <c r="K73" s="53" t="s">
        <v>99</v>
      </c>
      <c r="L73" s="53" t="s">
        <v>100</v>
      </c>
      <c r="M73" s="53" t="s">
        <v>101</v>
      </c>
      <c r="N73" s="53" t="s">
        <v>118</v>
      </c>
    </row>
    <row r="74" spans="1:14" x14ac:dyDescent="0.25">
      <c r="A74" s="50" t="s">
        <v>82</v>
      </c>
      <c r="B74" s="58">
        <f>B42</f>
        <v>327.22560000000004</v>
      </c>
      <c r="C74" s="58">
        <f>C42</f>
        <v>237.12</v>
      </c>
      <c r="D74" s="58">
        <f>D42</f>
        <v>240.9024</v>
      </c>
      <c r="E74" s="58">
        <f>E42</f>
        <v>284.39999999999998</v>
      </c>
      <c r="F74" s="58">
        <f>F42</f>
        <v>280.60799999999995</v>
      </c>
      <c r="G74" s="58">
        <f>G42</f>
        <v>244.58399999999997</v>
      </c>
      <c r="H74" s="58">
        <f>H42</f>
        <v>331.79999999999995</v>
      </c>
      <c r="I74" s="58">
        <f>I42</f>
        <v>324.21599999999995</v>
      </c>
      <c r="J74" s="58">
        <f>J42</f>
        <v>237</v>
      </c>
      <c r="K74" s="58">
        <f>K42</f>
        <v>237</v>
      </c>
      <c r="L74" s="58">
        <f>L42</f>
        <v>237</v>
      </c>
      <c r="M74" s="58">
        <f>M42</f>
        <v>237.04</v>
      </c>
      <c r="N74" s="50"/>
    </row>
    <row r="75" spans="1:14" x14ac:dyDescent="0.25">
      <c r="A75" s="50" t="s">
        <v>91</v>
      </c>
      <c r="B75" s="50">
        <v>1</v>
      </c>
      <c r="C75" s="50">
        <v>1</v>
      </c>
      <c r="D75" s="50">
        <v>1</v>
      </c>
      <c r="E75" s="50">
        <v>1</v>
      </c>
      <c r="F75" s="50">
        <v>1</v>
      </c>
      <c r="G75" s="50">
        <v>1</v>
      </c>
      <c r="H75" s="50">
        <v>1</v>
      </c>
      <c r="I75" s="50">
        <v>1</v>
      </c>
      <c r="J75" s="50">
        <v>1</v>
      </c>
      <c r="K75" s="50">
        <v>1</v>
      </c>
      <c r="L75" s="50">
        <v>1</v>
      </c>
      <c r="M75" s="50">
        <v>1</v>
      </c>
      <c r="N75" s="50"/>
    </row>
    <row r="76" spans="1:14" x14ac:dyDescent="0.25">
      <c r="A76" s="50" t="s">
        <v>126</v>
      </c>
      <c r="B76" s="58">
        <f>B74*B75</f>
        <v>327.22560000000004</v>
      </c>
      <c r="C76" s="58">
        <f>C74*C75</f>
        <v>237.12</v>
      </c>
      <c r="D76" s="58">
        <f>D74*D75</f>
        <v>240.9024</v>
      </c>
      <c r="E76" s="58">
        <f>E74*E75</f>
        <v>284.39999999999998</v>
      </c>
      <c r="F76" s="58">
        <f>F74*F75</f>
        <v>280.60799999999995</v>
      </c>
      <c r="G76" s="58">
        <f>G74*G75</f>
        <v>244.58399999999997</v>
      </c>
      <c r="H76" s="58">
        <f>H74*H75</f>
        <v>331.79999999999995</v>
      </c>
      <c r="I76" s="58">
        <f>I74*I75</f>
        <v>324.21599999999995</v>
      </c>
      <c r="J76" s="58">
        <f>J74*J75</f>
        <v>237</v>
      </c>
      <c r="K76" s="58">
        <f>K74*K75</f>
        <v>237</v>
      </c>
      <c r="L76" s="58">
        <f>L74*L75</f>
        <v>237</v>
      </c>
      <c r="M76" s="58">
        <f>M74*M75</f>
        <v>237.04</v>
      </c>
      <c r="N76" s="50"/>
    </row>
    <row r="77" spans="1:14" x14ac:dyDescent="0.25">
      <c r="A77" s="50" t="s">
        <v>129</v>
      </c>
      <c r="B77" s="58">
        <f>C76*0.1</f>
        <v>23.712000000000003</v>
      </c>
      <c r="C77" s="58">
        <f>D76*0.1</f>
        <v>24.090240000000001</v>
      </c>
      <c r="D77" s="58">
        <f t="shared" ref="D77:L77" si="21">E76*0.1</f>
        <v>28.439999999999998</v>
      </c>
      <c r="E77" s="58">
        <f t="shared" si="21"/>
        <v>28.060799999999997</v>
      </c>
      <c r="F77" s="58">
        <f t="shared" si="21"/>
        <v>24.458399999999997</v>
      </c>
      <c r="G77" s="58">
        <f t="shared" si="21"/>
        <v>33.18</v>
      </c>
      <c r="H77" s="58">
        <f t="shared" si="21"/>
        <v>32.421599999999998</v>
      </c>
      <c r="I77" s="58">
        <f t="shared" si="21"/>
        <v>23.700000000000003</v>
      </c>
      <c r="J77" s="58">
        <f t="shared" si="21"/>
        <v>23.700000000000003</v>
      </c>
      <c r="K77" s="58">
        <f t="shared" si="21"/>
        <v>23.700000000000003</v>
      </c>
      <c r="L77" s="58">
        <f t="shared" si="21"/>
        <v>23.704000000000001</v>
      </c>
      <c r="M77" s="58">
        <v>24</v>
      </c>
      <c r="N77" s="50"/>
    </row>
    <row r="78" spans="1:14" x14ac:dyDescent="0.25">
      <c r="A78" s="50" t="s">
        <v>133</v>
      </c>
      <c r="B78" s="58">
        <f>SUM(B76:B77)</f>
        <v>350.93760000000003</v>
      </c>
      <c r="C78" s="58">
        <f t="shared" ref="C78:M78" si="22">SUM(C76:C77)</f>
        <v>261.21024</v>
      </c>
      <c r="D78" s="58">
        <f t="shared" si="22"/>
        <v>269.3424</v>
      </c>
      <c r="E78" s="58">
        <f t="shared" si="22"/>
        <v>312.46079999999995</v>
      </c>
      <c r="F78" s="58">
        <f t="shared" si="22"/>
        <v>305.06639999999993</v>
      </c>
      <c r="G78" s="58">
        <f t="shared" si="22"/>
        <v>277.76399999999995</v>
      </c>
      <c r="H78" s="58">
        <f t="shared" si="22"/>
        <v>364.22159999999997</v>
      </c>
      <c r="I78" s="58">
        <f t="shared" si="22"/>
        <v>347.91599999999994</v>
      </c>
      <c r="J78" s="58">
        <f t="shared" si="22"/>
        <v>260.7</v>
      </c>
      <c r="K78" s="58">
        <f t="shared" si="22"/>
        <v>260.7</v>
      </c>
      <c r="L78" s="58">
        <f t="shared" si="22"/>
        <v>260.70400000000001</v>
      </c>
      <c r="M78" s="58">
        <f t="shared" si="22"/>
        <v>261.03999999999996</v>
      </c>
      <c r="N78" s="50"/>
    </row>
    <row r="79" spans="1:14" x14ac:dyDescent="0.25">
      <c r="A79" s="50" t="s">
        <v>132</v>
      </c>
      <c r="B79" s="50">
        <f>0</f>
        <v>0</v>
      </c>
      <c r="C79" s="58">
        <f>B77</f>
        <v>23.712000000000003</v>
      </c>
      <c r="D79" s="58">
        <f t="shared" ref="D79:M79" si="23">C77</f>
        <v>24.090240000000001</v>
      </c>
      <c r="E79" s="58">
        <f t="shared" si="23"/>
        <v>28.439999999999998</v>
      </c>
      <c r="F79" s="58">
        <f t="shared" si="23"/>
        <v>28.060799999999997</v>
      </c>
      <c r="G79" s="58">
        <f t="shared" si="23"/>
        <v>24.458399999999997</v>
      </c>
      <c r="H79" s="58">
        <f t="shared" si="23"/>
        <v>33.18</v>
      </c>
      <c r="I79" s="58">
        <f t="shared" si="23"/>
        <v>32.421599999999998</v>
      </c>
      <c r="J79" s="58">
        <f t="shared" si="23"/>
        <v>23.700000000000003</v>
      </c>
      <c r="K79" s="58">
        <f t="shared" si="23"/>
        <v>23.700000000000003</v>
      </c>
      <c r="L79" s="58">
        <f t="shared" si="23"/>
        <v>23.700000000000003</v>
      </c>
      <c r="M79" s="58">
        <f t="shared" si="23"/>
        <v>23.704000000000001</v>
      </c>
      <c r="N79" s="50"/>
    </row>
    <row r="80" spans="1:14" x14ac:dyDescent="0.25">
      <c r="A80" s="50" t="s">
        <v>134</v>
      </c>
      <c r="B80" s="58">
        <f>B78-B79</f>
        <v>350.93760000000003</v>
      </c>
      <c r="C80" s="58">
        <f t="shared" ref="C80:M80" si="24">C78-C79</f>
        <v>237.49824000000001</v>
      </c>
      <c r="D80" s="58">
        <f t="shared" si="24"/>
        <v>245.25216</v>
      </c>
      <c r="E80" s="58">
        <f t="shared" si="24"/>
        <v>284.02079999999995</v>
      </c>
      <c r="F80" s="58">
        <f t="shared" si="24"/>
        <v>277.00559999999996</v>
      </c>
      <c r="G80" s="58">
        <f t="shared" si="24"/>
        <v>253.30559999999997</v>
      </c>
      <c r="H80" s="58">
        <f t="shared" si="24"/>
        <v>331.04159999999996</v>
      </c>
      <c r="I80" s="58">
        <f t="shared" si="24"/>
        <v>315.49439999999993</v>
      </c>
      <c r="J80" s="58">
        <f t="shared" si="24"/>
        <v>237</v>
      </c>
      <c r="K80" s="58">
        <f t="shared" si="24"/>
        <v>237</v>
      </c>
      <c r="L80" s="58">
        <f t="shared" si="24"/>
        <v>237.00400000000002</v>
      </c>
      <c r="M80" s="58">
        <f t="shared" si="24"/>
        <v>237.33599999999996</v>
      </c>
      <c r="N80" s="50"/>
    </row>
    <row r="81" spans="1:14" x14ac:dyDescent="0.25">
      <c r="A81" s="53" t="s">
        <v>131</v>
      </c>
      <c r="B81" s="63">
        <f>B80*1</f>
        <v>350.93760000000003</v>
      </c>
      <c r="C81" s="63">
        <f t="shared" ref="C81:M81" si="25">C80*1</f>
        <v>237.49824000000001</v>
      </c>
      <c r="D81" s="63">
        <f t="shared" si="25"/>
        <v>245.25216</v>
      </c>
      <c r="E81" s="63">
        <f t="shared" si="25"/>
        <v>284.02079999999995</v>
      </c>
      <c r="F81" s="63">
        <f t="shared" si="25"/>
        <v>277.00559999999996</v>
      </c>
      <c r="G81" s="63">
        <f t="shared" si="25"/>
        <v>253.30559999999997</v>
      </c>
      <c r="H81" s="63">
        <f t="shared" si="25"/>
        <v>331.04159999999996</v>
      </c>
      <c r="I81" s="63">
        <f t="shared" si="25"/>
        <v>315.49439999999993</v>
      </c>
      <c r="J81" s="63">
        <f t="shared" si="25"/>
        <v>237</v>
      </c>
      <c r="K81" s="63">
        <f t="shared" si="25"/>
        <v>237</v>
      </c>
      <c r="L81" s="63">
        <f t="shared" si="25"/>
        <v>237.00400000000002</v>
      </c>
      <c r="M81" s="63">
        <f t="shared" si="25"/>
        <v>237.33599999999996</v>
      </c>
      <c r="N81" s="62">
        <f>SUM(B81:M81)</f>
        <v>3242.8959999999997</v>
      </c>
    </row>
    <row r="82" spans="1:14" x14ac:dyDescent="0.25">
      <c r="A82" s="50" t="s">
        <v>124</v>
      </c>
      <c r="B82" s="50">
        <v>2</v>
      </c>
      <c r="C82" s="50">
        <v>2</v>
      </c>
      <c r="D82" s="50">
        <v>2</v>
      </c>
      <c r="E82" s="50">
        <v>2</v>
      </c>
      <c r="F82" s="50">
        <v>2</v>
      </c>
      <c r="G82" s="50">
        <v>2</v>
      </c>
      <c r="H82" s="50">
        <v>2</v>
      </c>
      <c r="I82" s="50">
        <v>2</v>
      </c>
      <c r="J82" s="50">
        <v>2</v>
      </c>
      <c r="K82" s="50">
        <v>2</v>
      </c>
      <c r="L82" s="50">
        <v>2</v>
      </c>
      <c r="M82" s="50">
        <v>2</v>
      </c>
      <c r="N82" s="50"/>
    </row>
    <row r="83" spans="1:14" ht="17.25" customHeight="1" x14ac:dyDescent="0.25">
      <c r="A83" s="50" t="s">
        <v>127</v>
      </c>
      <c r="B83" s="58">
        <f>B74*2</f>
        <v>654.45120000000009</v>
      </c>
      <c r="C83" s="58">
        <f>C74*2</f>
        <v>474.24</v>
      </c>
      <c r="D83" s="58">
        <f>D74*2</f>
        <v>481.8048</v>
      </c>
      <c r="E83" s="58">
        <f>E74*2</f>
        <v>568.79999999999995</v>
      </c>
      <c r="F83" s="58">
        <f>F74*2</f>
        <v>561.21599999999989</v>
      </c>
      <c r="G83" s="58">
        <f>G74*2</f>
        <v>489.16799999999995</v>
      </c>
      <c r="H83" s="58">
        <f>H74*2</f>
        <v>663.59999999999991</v>
      </c>
      <c r="I83" s="58">
        <f>I74*2</f>
        <v>648.4319999999999</v>
      </c>
      <c r="J83" s="58">
        <f>J74*2</f>
        <v>474</v>
      </c>
      <c r="K83" s="58">
        <f>K74*2</f>
        <v>474</v>
      </c>
      <c r="L83" s="58">
        <f>L74*2</f>
        <v>474</v>
      </c>
      <c r="M83" s="58">
        <f>M74*2</f>
        <v>474.08</v>
      </c>
      <c r="N83" s="50"/>
    </row>
    <row r="84" spans="1:14" x14ac:dyDescent="0.25">
      <c r="A84" s="50" t="s">
        <v>130</v>
      </c>
      <c r="B84" s="58">
        <f>C83*0.1</f>
        <v>47.424000000000007</v>
      </c>
      <c r="C84" s="58">
        <f t="shared" ref="C84:L84" si="26">D83*0.1</f>
        <v>48.180480000000003</v>
      </c>
      <c r="D84" s="58">
        <f t="shared" si="26"/>
        <v>56.879999999999995</v>
      </c>
      <c r="E84" s="58">
        <f t="shared" si="26"/>
        <v>56.121599999999994</v>
      </c>
      <c r="F84" s="58">
        <f t="shared" si="26"/>
        <v>48.916799999999995</v>
      </c>
      <c r="G84" s="58">
        <f t="shared" si="26"/>
        <v>66.36</v>
      </c>
      <c r="H84" s="58">
        <f t="shared" si="26"/>
        <v>64.843199999999996</v>
      </c>
      <c r="I84" s="58">
        <f t="shared" si="26"/>
        <v>47.400000000000006</v>
      </c>
      <c r="J84" s="58">
        <f t="shared" si="26"/>
        <v>47.400000000000006</v>
      </c>
      <c r="K84" s="58">
        <f t="shared" si="26"/>
        <v>47.400000000000006</v>
      </c>
      <c r="L84" s="58">
        <f t="shared" si="26"/>
        <v>47.408000000000001</v>
      </c>
      <c r="M84" s="58">
        <v>47</v>
      </c>
      <c r="N84" s="50"/>
    </row>
    <row r="85" spans="1:14" x14ac:dyDescent="0.25">
      <c r="A85" s="50" t="s">
        <v>135</v>
      </c>
      <c r="B85" s="58">
        <f>SUM(B83:B84)</f>
        <v>701.87520000000006</v>
      </c>
      <c r="C85" s="58">
        <f t="shared" ref="C85:M85" si="27">SUM(C83:C84)</f>
        <v>522.42048</v>
      </c>
      <c r="D85" s="58">
        <f t="shared" si="27"/>
        <v>538.6848</v>
      </c>
      <c r="E85" s="58">
        <f t="shared" si="27"/>
        <v>624.9215999999999</v>
      </c>
      <c r="F85" s="58">
        <f t="shared" si="27"/>
        <v>610.13279999999986</v>
      </c>
      <c r="G85" s="58">
        <f t="shared" si="27"/>
        <v>555.52799999999991</v>
      </c>
      <c r="H85" s="58">
        <f t="shared" si="27"/>
        <v>728.44319999999993</v>
      </c>
      <c r="I85" s="58">
        <f t="shared" si="27"/>
        <v>695.83199999999988</v>
      </c>
      <c r="J85" s="58">
        <f t="shared" si="27"/>
        <v>521.4</v>
      </c>
      <c r="K85" s="58">
        <f t="shared" si="27"/>
        <v>521.4</v>
      </c>
      <c r="L85" s="58">
        <f t="shared" si="27"/>
        <v>521.40800000000002</v>
      </c>
      <c r="M85" s="58">
        <f t="shared" si="27"/>
        <v>521.07999999999993</v>
      </c>
      <c r="N85" s="50"/>
    </row>
    <row r="86" spans="1:14" x14ac:dyDescent="0.25">
      <c r="A86" s="50" t="s">
        <v>136</v>
      </c>
      <c r="B86" s="50">
        <f>0</f>
        <v>0</v>
      </c>
      <c r="C86" s="58">
        <f>B84</f>
        <v>47.424000000000007</v>
      </c>
      <c r="D86" s="58">
        <f t="shared" ref="D86:M86" si="28">C84</f>
        <v>48.180480000000003</v>
      </c>
      <c r="E86" s="58">
        <f t="shared" si="28"/>
        <v>56.879999999999995</v>
      </c>
      <c r="F86" s="58">
        <f t="shared" si="28"/>
        <v>56.121599999999994</v>
      </c>
      <c r="G86" s="58">
        <f t="shared" si="28"/>
        <v>48.916799999999995</v>
      </c>
      <c r="H86" s="58">
        <f t="shared" si="28"/>
        <v>66.36</v>
      </c>
      <c r="I86" s="58">
        <f t="shared" si="28"/>
        <v>64.843199999999996</v>
      </c>
      <c r="J86" s="58">
        <f t="shared" si="28"/>
        <v>47.400000000000006</v>
      </c>
      <c r="K86" s="58">
        <f t="shared" si="28"/>
        <v>47.400000000000006</v>
      </c>
      <c r="L86" s="58">
        <f t="shared" si="28"/>
        <v>47.400000000000006</v>
      </c>
      <c r="M86" s="58">
        <f t="shared" si="28"/>
        <v>47.408000000000001</v>
      </c>
      <c r="N86" s="50"/>
    </row>
    <row r="87" spans="1:14" x14ac:dyDescent="0.25">
      <c r="A87" s="50" t="s">
        <v>137</v>
      </c>
      <c r="B87" s="58">
        <f>B85-B86</f>
        <v>701.87520000000006</v>
      </c>
      <c r="C87" s="58">
        <f t="shared" ref="C87:M87" si="29">C85-C86</f>
        <v>474.99648000000002</v>
      </c>
      <c r="D87" s="58">
        <f t="shared" si="29"/>
        <v>490.50432000000001</v>
      </c>
      <c r="E87" s="58">
        <f t="shared" si="29"/>
        <v>568.0415999999999</v>
      </c>
      <c r="F87" s="58">
        <f t="shared" si="29"/>
        <v>554.01119999999992</v>
      </c>
      <c r="G87" s="58">
        <f t="shared" si="29"/>
        <v>506.61119999999994</v>
      </c>
      <c r="H87" s="58">
        <f t="shared" si="29"/>
        <v>662.08319999999992</v>
      </c>
      <c r="I87" s="58">
        <f t="shared" si="29"/>
        <v>630.98879999999986</v>
      </c>
      <c r="J87" s="58">
        <f t="shared" si="29"/>
        <v>474</v>
      </c>
      <c r="K87" s="58">
        <f t="shared" si="29"/>
        <v>474</v>
      </c>
      <c r="L87" s="58">
        <f t="shared" si="29"/>
        <v>474.00800000000004</v>
      </c>
      <c r="M87" s="58">
        <f t="shared" si="29"/>
        <v>473.67199999999991</v>
      </c>
      <c r="N87" s="50"/>
    </row>
    <row r="88" spans="1:14" x14ac:dyDescent="0.25">
      <c r="A88" s="53" t="s">
        <v>138</v>
      </c>
      <c r="B88" s="97">
        <f>B87*0.5</f>
        <v>350.93760000000003</v>
      </c>
      <c r="C88" s="97">
        <f t="shared" ref="C88:M88" si="30">C87*0.5</f>
        <v>237.49824000000001</v>
      </c>
      <c r="D88" s="97">
        <f t="shared" si="30"/>
        <v>245.25216</v>
      </c>
      <c r="E88" s="97">
        <f t="shared" si="30"/>
        <v>284.02079999999995</v>
      </c>
      <c r="F88" s="97">
        <f t="shared" si="30"/>
        <v>277.00559999999996</v>
      </c>
      <c r="G88" s="97">
        <f t="shared" si="30"/>
        <v>253.30559999999997</v>
      </c>
      <c r="H88" s="97">
        <f t="shared" si="30"/>
        <v>331.04159999999996</v>
      </c>
      <c r="I88" s="97">
        <f t="shared" si="30"/>
        <v>315.49439999999993</v>
      </c>
      <c r="J88" s="97">
        <f t="shared" si="30"/>
        <v>237</v>
      </c>
      <c r="K88" s="97">
        <f t="shared" si="30"/>
        <v>237</v>
      </c>
      <c r="L88" s="97">
        <f t="shared" si="30"/>
        <v>237.00400000000002</v>
      </c>
      <c r="M88" s="97">
        <f t="shared" si="30"/>
        <v>236.83599999999996</v>
      </c>
      <c r="N88" s="62">
        <f>SUM(B88:M88)</f>
        <v>3242.3959999999997</v>
      </c>
    </row>
    <row r="89" spans="1:14" x14ac:dyDescent="0.25">
      <c r="A89" s="50" t="s">
        <v>125</v>
      </c>
      <c r="B89" s="50">
        <v>2</v>
      </c>
      <c r="C89" s="50">
        <v>2</v>
      </c>
      <c r="D89" s="50">
        <v>2</v>
      </c>
      <c r="E89" s="50">
        <v>2</v>
      </c>
      <c r="F89" s="50">
        <v>2</v>
      </c>
      <c r="G89" s="50">
        <v>2</v>
      </c>
      <c r="H89" s="50">
        <v>2</v>
      </c>
      <c r="I89" s="50">
        <v>2</v>
      </c>
      <c r="J89" s="50">
        <v>2</v>
      </c>
      <c r="K89" s="50">
        <v>2</v>
      </c>
      <c r="L89" s="50">
        <v>2</v>
      </c>
      <c r="M89" s="50">
        <v>2</v>
      </c>
      <c r="N89" s="50"/>
    </row>
    <row r="90" spans="1:14" x14ac:dyDescent="0.25">
      <c r="A90" s="50" t="s">
        <v>128</v>
      </c>
      <c r="B90" s="58">
        <f>B74*2</f>
        <v>654.45120000000009</v>
      </c>
      <c r="C90" s="58">
        <f>C74*2</f>
        <v>474.24</v>
      </c>
      <c r="D90" s="58">
        <f>D74*2</f>
        <v>481.8048</v>
      </c>
      <c r="E90" s="58">
        <f>E74*2</f>
        <v>568.79999999999995</v>
      </c>
      <c r="F90" s="58">
        <f>F74*2</f>
        <v>561.21599999999989</v>
      </c>
      <c r="G90" s="58">
        <f>G74*2</f>
        <v>489.16799999999995</v>
      </c>
      <c r="H90" s="58">
        <f>H74*2</f>
        <v>663.59999999999991</v>
      </c>
      <c r="I90" s="58">
        <f>I74*2</f>
        <v>648.4319999999999</v>
      </c>
      <c r="J90" s="58">
        <f>J74*2</f>
        <v>474</v>
      </c>
      <c r="K90" s="58">
        <f>K74*2</f>
        <v>474</v>
      </c>
      <c r="L90" s="58">
        <f>L74*2</f>
        <v>474</v>
      </c>
      <c r="M90" s="58">
        <f>M74*2</f>
        <v>474.08</v>
      </c>
      <c r="N90" s="50"/>
    </row>
    <row r="91" spans="1:14" x14ac:dyDescent="0.25">
      <c r="A91" s="50" t="s">
        <v>139</v>
      </c>
      <c r="B91" s="58">
        <f>C90*0.1</f>
        <v>47.424000000000007</v>
      </c>
      <c r="C91" s="58">
        <f t="shared" ref="C91:L91" si="31">D90*0.1</f>
        <v>48.180480000000003</v>
      </c>
      <c r="D91" s="58">
        <f t="shared" si="31"/>
        <v>56.879999999999995</v>
      </c>
      <c r="E91" s="58">
        <f t="shared" si="31"/>
        <v>56.121599999999994</v>
      </c>
      <c r="F91" s="58">
        <f t="shared" si="31"/>
        <v>48.916799999999995</v>
      </c>
      <c r="G91" s="58">
        <f t="shared" si="31"/>
        <v>66.36</v>
      </c>
      <c r="H91" s="58">
        <f t="shared" si="31"/>
        <v>64.843199999999996</v>
      </c>
      <c r="I91" s="58">
        <f t="shared" si="31"/>
        <v>47.400000000000006</v>
      </c>
      <c r="J91" s="58">
        <f t="shared" si="31"/>
        <v>47.400000000000006</v>
      </c>
      <c r="K91" s="58">
        <f t="shared" si="31"/>
        <v>47.400000000000006</v>
      </c>
      <c r="L91" s="58">
        <f t="shared" si="31"/>
        <v>47.408000000000001</v>
      </c>
      <c r="M91" s="58">
        <f>47</f>
        <v>47</v>
      </c>
      <c r="N91" s="50"/>
    </row>
    <row r="92" spans="1:14" x14ac:dyDescent="0.25">
      <c r="A92" s="50" t="s">
        <v>140</v>
      </c>
      <c r="B92" s="58">
        <f>SUM(B90:B91)</f>
        <v>701.87520000000006</v>
      </c>
      <c r="C92" s="58">
        <f t="shared" ref="C92:M92" si="32">SUM(C90:C91)</f>
        <v>522.42048</v>
      </c>
      <c r="D92" s="58">
        <f t="shared" si="32"/>
        <v>538.6848</v>
      </c>
      <c r="E92" s="58">
        <f t="shared" si="32"/>
        <v>624.9215999999999</v>
      </c>
      <c r="F92" s="58">
        <f t="shared" si="32"/>
        <v>610.13279999999986</v>
      </c>
      <c r="G92" s="58">
        <f t="shared" si="32"/>
        <v>555.52799999999991</v>
      </c>
      <c r="H92" s="58">
        <f t="shared" si="32"/>
        <v>728.44319999999993</v>
      </c>
      <c r="I92" s="58">
        <f t="shared" si="32"/>
        <v>695.83199999999988</v>
      </c>
      <c r="J92" s="58">
        <f t="shared" si="32"/>
        <v>521.4</v>
      </c>
      <c r="K92" s="58">
        <f t="shared" si="32"/>
        <v>521.4</v>
      </c>
      <c r="L92" s="58">
        <f t="shared" si="32"/>
        <v>521.40800000000002</v>
      </c>
      <c r="M92" s="58">
        <f t="shared" si="32"/>
        <v>521.07999999999993</v>
      </c>
      <c r="N92" s="50"/>
    </row>
    <row r="93" spans="1:14" x14ac:dyDescent="0.25">
      <c r="A93" s="50" t="s">
        <v>141</v>
      </c>
      <c r="B93" s="58">
        <f>0</f>
        <v>0</v>
      </c>
      <c r="C93" s="58">
        <f>B91</f>
        <v>47.424000000000007</v>
      </c>
      <c r="D93" s="58">
        <f t="shared" ref="D93:M93" si="33">C91</f>
        <v>48.180480000000003</v>
      </c>
      <c r="E93" s="58">
        <f t="shared" si="33"/>
        <v>56.879999999999995</v>
      </c>
      <c r="F93" s="58">
        <f t="shared" si="33"/>
        <v>56.121599999999994</v>
      </c>
      <c r="G93" s="58">
        <f t="shared" si="33"/>
        <v>48.916799999999995</v>
      </c>
      <c r="H93" s="58">
        <f t="shared" si="33"/>
        <v>66.36</v>
      </c>
      <c r="I93" s="58">
        <f t="shared" si="33"/>
        <v>64.843199999999996</v>
      </c>
      <c r="J93" s="58">
        <f t="shared" si="33"/>
        <v>47.400000000000006</v>
      </c>
      <c r="K93" s="58">
        <f t="shared" si="33"/>
        <v>47.400000000000006</v>
      </c>
      <c r="L93" s="58">
        <f t="shared" si="33"/>
        <v>47.400000000000006</v>
      </c>
      <c r="M93" s="58">
        <f t="shared" si="33"/>
        <v>47.408000000000001</v>
      </c>
      <c r="N93" s="50"/>
    </row>
    <row r="94" spans="1:14" x14ac:dyDescent="0.25">
      <c r="A94" s="50" t="s">
        <v>142</v>
      </c>
      <c r="B94" s="58">
        <f>B92-B93</f>
        <v>701.87520000000006</v>
      </c>
      <c r="C94" s="58">
        <f t="shared" ref="C94:M94" si="34">C92-C93</f>
        <v>474.99648000000002</v>
      </c>
      <c r="D94" s="58">
        <f t="shared" si="34"/>
        <v>490.50432000000001</v>
      </c>
      <c r="E94" s="58">
        <f t="shared" si="34"/>
        <v>568.0415999999999</v>
      </c>
      <c r="F94" s="58">
        <f t="shared" si="34"/>
        <v>554.01119999999992</v>
      </c>
      <c r="G94" s="58">
        <f t="shared" si="34"/>
        <v>506.61119999999994</v>
      </c>
      <c r="H94" s="58">
        <f t="shared" si="34"/>
        <v>662.08319999999992</v>
      </c>
      <c r="I94" s="58">
        <f t="shared" si="34"/>
        <v>630.98879999999986</v>
      </c>
      <c r="J94" s="58">
        <f t="shared" si="34"/>
        <v>474</v>
      </c>
      <c r="K94" s="58">
        <f t="shared" si="34"/>
        <v>474</v>
      </c>
      <c r="L94" s="58">
        <f t="shared" si="34"/>
        <v>474.00800000000004</v>
      </c>
      <c r="M94" s="58">
        <f t="shared" si="34"/>
        <v>473.67199999999991</v>
      </c>
      <c r="N94" s="50"/>
    </row>
    <row r="95" spans="1:14" x14ac:dyDescent="0.25">
      <c r="A95" s="53" t="s">
        <v>143</v>
      </c>
      <c r="B95" s="63">
        <f>B94*0.5</f>
        <v>350.93760000000003</v>
      </c>
      <c r="C95" s="63">
        <f t="shared" ref="C95:M95" si="35">C94*0.5</f>
        <v>237.49824000000001</v>
      </c>
      <c r="D95" s="63">
        <f t="shared" si="35"/>
        <v>245.25216</v>
      </c>
      <c r="E95" s="63">
        <f t="shared" si="35"/>
        <v>284.02079999999995</v>
      </c>
      <c r="F95" s="63">
        <f t="shared" si="35"/>
        <v>277.00559999999996</v>
      </c>
      <c r="G95" s="63">
        <f t="shared" si="35"/>
        <v>253.30559999999997</v>
      </c>
      <c r="H95" s="63">
        <f t="shared" si="35"/>
        <v>331.04159999999996</v>
      </c>
      <c r="I95" s="63">
        <f t="shared" si="35"/>
        <v>315.49439999999993</v>
      </c>
      <c r="J95" s="63">
        <f t="shared" si="35"/>
        <v>237</v>
      </c>
      <c r="K95" s="63">
        <f t="shared" si="35"/>
        <v>237</v>
      </c>
      <c r="L95" s="63">
        <f t="shared" si="35"/>
        <v>237.00400000000002</v>
      </c>
      <c r="M95" s="63">
        <f t="shared" si="35"/>
        <v>236.83599999999996</v>
      </c>
      <c r="N95" s="62">
        <f>SUM(B95:M95)</f>
        <v>3242.3959999999997</v>
      </c>
    </row>
    <row r="96" spans="1:14" x14ac:dyDescent="0.25">
      <c r="A96" s="50" t="s">
        <v>144</v>
      </c>
      <c r="B96" s="50">
        <v>1</v>
      </c>
      <c r="C96" s="50">
        <v>1</v>
      </c>
      <c r="D96" s="50">
        <v>1</v>
      </c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/>
    </row>
    <row r="97" spans="1:14" x14ac:dyDescent="0.25">
      <c r="A97" s="50" t="s">
        <v>145</v>
      </c>
      <c r="B97" s="58">
        <f>B74*B96</f>
        <v>327.22560000000004</v>
      </c>
      <c r="C97" s="58">
        <f t="shared" ref="C97:M97" si="36">C74*C96</f>
        <v>237.12</v>
      </c>
      <c r="D97" s="58">
        <f t="shared" si="36"/>
        <v>240.9024</v>
      </c>
      <c r="E97" s="58">
        <f t="shared" si="36"/>
        <v>284.39999999999998</v>
      </c>
      <c r="F97" s="58">
        <f t="shared" si="36"/>
        <v>280.60799999999995</v>
      </c>
      <c r="G97" s="58">
        <f t="shared" si="36"/>
        <v>244.58399999999997</v>
      </c>
      <c r="H97" s="58">
        <f t="shared" si="36"/>
        <v>331.79999999999995</v>
      </c>
      <c r="I97" s="58">
        <f t="shared" si="36"/>
        <v>324.21599999999995</v>
      </c>
      <c r="J97" s="58">
        <f t="shared" si="36"/>
        <v>237</v>
      </c>
      <c r="K97" s="58">
        <f t="shared" si="36"/>
        <v>237</v>
      </c>
      <c r="L97" s="58">
        <f t="shared" si="36"/>
        <v>237</v>
      </c>
      <c r="M97" s="58">
        <f t="shared" si="36"/>
        <v>237.04</v>
      </c>
      <c r="N97" s="50"/>
    </row>
    <row r="98" spans="1:14" x14ac:dyDescent="0.25">
      <c r="A98" s="50" t="s">
        <v>146</v>
      </c>
      <c r="B98" s="58">
        <f>C97*0.1</f>
        <v>23.712000000000003</v>
      </c>
      <c r="C98" s="58">
        <f t="shared" ref="C98:L98" si="37">D97*0.1</f>
        <v>24.090240000000001</v>
      </c>
      <c r="D98" s="58">
        <f t="shared" si="37"/>
        <v>28.439999999999998</v>
      </c>
      <c r="E98" s="58">
        <f t="shared" si="37"/>
        <v>28.060799999999997</v>
      </c>
      <c r="F98" s="58">
        <f t="shared" si="37"/>
        <v>24.458399999999997</v>
      </c>
      <c r="G98" s="58">
        <f t="shared" si="37"/>
        <v>33.18</v>
      </c>
      <c r="H98" s="58">
        <f t="shared" si="37"/>
        <v>32.421599999999998</v>
      </c>
      <c r="I98" s="58">
        <f t="shared" si="37"/>
        <v>23.700000000000003</v>
      </c>
      <c r="J98" s="58">
        <f t="shared" si="37"/>
        <v>23.700000000000003</v>
      </c>
      <c r="K98" s="58">
        <f t="shared" si="37"/>
        <v>23.700000000000003</v>
      </c>
      <c r="L98" s="58">
        <f t="shared" si="37"/>
        <v>23.704000000000001</v>
      </c>
      <c r="M98" s="58">
        <v>24</v>
      </c>
      <c r="N98" s="50"/>
    </row>
    <row r="99" spans="1:14" x14ac:dyDescent="0.25">
      <c r="A99" s="50" t="s">
        <v>147</v>
      </c>
      <c r="B99" s="58">
        <f>SUM(B97:B98)</f>
        <v>350.93760000000003</v>
      </c>
      <c r="C99" s="58">
        <f t="shared" ref="C99:M99" si="38">SUM(C97:C98)</f>
        <v>261.21024</v>
      </c>
      <c r="D99" s="58">
        <f t="shared" si="38"/>
        <v>269.3424</v>
      </c>
      <c r="E99" s="58">
        <f t="shared" si="38"/>
        <v>312.46079999999995</v>
      </c>
      <c r="F99" s="58">
        <f t="shared" si="38"/>
        <v>305.06639999999993</v>
      </c>
      <c r="G99" s="58">
        <f t="shared" si="38"/>
        <v>277.76399999999995</v>
      </c>
      <c r="H99" s="58">
        <f t="shared" si="38"/>
        <v>364.22159999999997</v>
      </c>
      <c r="I99" s="58">
        <f t="shared" si="38"/>
        <v>347.91599999999994</v>
      </c>
      <c r="J99" s="58">
        <f t="shared" si="38"/>
        <v>260.7</v>
      </c>
      <c r="K99" s="58">
        <f t="shared" si="38"/>
        <v>260.7</v>
      </c>
      <c r="L99" s="58">
        <f t="shared" si="38"/>
        <v>260.70400000000001</v>
      </c>
      <c r="M99" s="58">
        <f t="shared" si="38"/>
        <v>261.03999999999996</v>
      </c>
      <c r="N99" s="50"/>
    </row>
    <row r="100" spans="1:14" x14ac:dyDescent="0.25">
      <c r="A100" s="50" t="s">
        <v>148</v>
      </c>
      <c r="B100" s="58">
        <v>0</v>
      </c>
      <c r="C100" s="58">
        <f>C99-B98</f>
        <v>237.49824000000001</v>
      </c>
      <c r="D100" s="58">
        <f t="shared" ref="D100:M100" si="39">D99-C98</f>
        <v>245.25216</v>
      </c>
      <c r="E100" s="58">
        <f t="shared" si="39"/>
        <v>284.02079999999995</v>
      </c>
      <c r="F100" s="58">
        <f t="shared" si="39"/>
        <v>277.00559999999996</v>
      </c>
      <c r="G100" s="58">
        <f t="shared" si="39"/>
        <v>253.30559999999997</v>
      </c>
      <c r="H100" s="58">
        <f t="shared" si="39"/>
        <v>331.04159999999996</v>
      </c>
      <c r="I100" s="58">
        <f t="shared" si="39"/>
        <v>315.49439999999993</v>
      </c>
      <c r="J100" s="58">
        <f t="shared" si="39"/>
        <v>237</v>
      </c>
      <c r="K100" s="58">
        <f t="shared" si="39"/>
        <v>237</v>
      </c>
      <c r="L100" s="58">
        <f t="shared" si="39"/>
        <v>237.00400000000002</v>
      </c>
      <c r="M100" s="58">
        <f t="shared" si="39"/>
        <v>237.33599999999996</v>
      </c>
      <c r="N100" s="50"/>
    </row>
    <row r="101" spans="1:14" x14ac:dyDescent="0.25">
      <c r="A101" s="50" t="s">
        <v>149</v>
      </c>
      <c r="B101" s="58">
        <f>B99-B100</f>
        <v>350.93760000000003</v>
      </c>
      <c r="C101" s="58">
        <f>C100-B98</f>
        <v>213.78624000000002</v>
      </c>
      <c r="D101" s="58">
        <f t="shared" ref="D101:M101" si="40">D100-C98</f>
        <v>221.16192000000001</v>
      </c>
      <c r="E101" s="58">
        <f t="shared" si="40"/>
        <v>255.58079999999995</v>
      </c>
      <c r="F101" s="58">
        <f t="shared" si="40"/>
        <v>248.94479999999996</v>
      </c>
      <c r="G101" s="58">
        <f t="shared" si="40"/>
        <v>228.84719999999999</v>
      </c>
      <c r="H101" s="58">
        <f t="shared" si="40"/>
        <v>297.86159999999995</v>
      </c>
      <c r="I101" s="58">
        <f t="shared" si="40"/>
        <v>283.07279999999992</v>
      </c>
      <c r="J101" s="58">
        <f t="shared" si="40"/>
        <v>213.3</v>
      </c>
      <c r="K101" s="58">
        <f t="shared" si="40"/>
        <v>213.3</v>
      </c>
      <c r="L101" s="58">
        <f t="shared" si="40"/>
        <v>213.30400000000003</v>
      </c>
      <c r="M101" s="58">
        <f t="shared" si="40"/>
        <v>213.63199999999995</v>
      </c>
      <c r="N101" s="50"/>
    </row>
    <row r="102" spans="1:14" x14ac:dyDescent="0.25">
      <c r="A102" s="53" t="s">
        <v>150</v>
      </c>
      <c r="B102" s="63">
        <f>B101*2</f>
        <v>701.87520000000006</v>
      </c>
      <c r="C102" s="63">
        <f t="shared" ref="C102:M102" si="41">C101*2</f>
        <v>427.57248000000004</v>
      </c>
      <c r="D102" s="63">
        <f t="shared" si="41"/>
        <v>442.32384000000002</v>
      </c>
      <c r="E102" s="63">
        <f t="shared" si="41"/>
        <v>511.16159999999991</v>
      </c>
      <c r="F102" s="63">
        <f t="shared" si="41"/>
        <v>497.88959999999992</v>
      </c>
      <c r="G102" s="63">
        <f t="shared" si="41"/>
        <v>457.69439999999997</v>
      </c>
      <c r="H102" s="63">
        <f t="shared" si="41"/>
        <v>595.72319999999991</v>
      </c>
      <c r="I102" s="63">
        <f t="shared" si="41"/>
        <v>566.14559999999983</v>
      </c>
      <c r="J102" s="63">
        <f t="shared" si="41"/>
        <v>426.6</v>
      </c>
      <c r="K102" s="63">
        <f t="shared" si="41"/>
        <v>426.6</v>
      </c>
      <c r="L102" s="63">
        <f t="shared" si="41"/>
        <v>426.60800000000006</v>
      </c>
      <c r="M102" s="63">
        <f t="shared" si="41"/>
        <v>427.2639999999999</v>
      </c>
      <c r="N102" s="62">
        <f>SUM(B102:M102)</f>
        <v>5907.4579200000007</v>
      </c>
    </row>
    <row r="103" spans="1:14" ht="17.25" x14ac:dyDescent="0.4">
      <c r="A103" s="50" t="s">
        <v>151</v>
      </c>
      <c r="B103" s="63">
        <f>SUM(B81,B88,B95,B102)</f>
        <v>1754.6880000000001</v>
      </c>
      <c r="C103" s="63">
        <f t="shared" ref="C103:N103" si="42">SUM(C81,C88,C95,C102)</f>
        <v>1140.0672</v>
      </c>
      <c r="D103" s="63">
        <f t="shared" si="42"/>
        <v>1178.08032</v>
      </c>
      <c r="E103" s="63">
        <f t="shared" si="42"/>
        <v>1363.2239999999997</v>
      </c>
      <c r="F103" s="63">
        <f t="shared" si="42"/>
        <v>1328.9063999999998</v>
      </c>
      <c r="G103" s="63">
        <f t="shared" si="42"/>
        <v>1217.6111999999998</v>
      </c>
      <c r="H103" s="63">
        <f t="shared" si="42"/>
        <v>1588.8479999999997</v>
      </c>
      <c r="I103" s="63">
        <f t="shared" si="42"/>
        <v>1512.6287999999995</v>
      </c>
      <c r="J103" s="63">
        <f t="shared" si="42"/>
        <v>1137.5999999999999</v>
      </c>
      <c r="K103" s="63">
        <f t="shared" si="42"/>
        <v>1137.5999999999999</v>
      </c>
      <c r="L103" s="63">
        <f t="shared" si="42"/>
        <v>1137.6200000000001</v>
      </c>
      <c r="M103" s="63">
        <f t="shared" si="42"/>
        <v>1138.2719999999997</v>
      </c>
      <c r="N103" s="100">
        <f t="shared" si="42"/>
        <v>15635.145919999999</v>
      </c>
    </row>
    <row r="104" spans="1:14" ht="15.75" x14ac:dyDescent="0.25">
      <c r="B104" s="32" t="s">
        <v>152</v>
      </c>
    </row>
    <row r="105" spans="1:14" x14ac:dyDescent="0.25">
      <c r="A105" s="50"/>
      <c r="B105" s="52" t="s">
        <v>61</v>
      </c>
      <c r="C105" s="53" t="s">
        <v>154</v>
      </c>
      <c r="D105" s="53" t="s">
        <v>62</v>
      </c>
      <c r="E105" s="54" t="s">
        <v>93</v>
      </c>
      <c r="F105" s="54" t="s">
        <v>94</v>
      </c>
      <c r="G105" s="55" t="s">
        <v>95</v>
      </c>
      <c r="H105" s="56" t="s">
        <v>96</v>
      </c>
      <c r="I105" s="56" t="s">
        <v>97</v>
      </c>
      <c r="J105" s="53" t="s">
        <v>98</v>
      </c>
      <c r="K105" s="53" t="s">
        <v>99</v>
      </c>
      <c r="L105" s="53" t="s">
        <v>100</v>
      </c>
      <c r="M105" s="53" t="s">
        <v>101</v>
      </c>
      <c r="N105" s="53" t="s">
        <v>118</v>
      </c>
    </row>
    <row r="106" spans="1:14" x14ac:dyDescent="0.25">
      <c r="A106" s="50" t="s">
        <v>153</v>
      </c>
      <c r="B106" s="62">
        <f>B103*0.5</f>
        <v>877.34400000000005</v>
      </c>
      <c r="C106" s="97">
        <f>B106</f>
        <v>877.34400000000005</v>
      </c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>
        <f>SUM(B106:M106)</f>
        <v>1754.6880000000001</v>
      </c>
    </row>
    <row r="107" spans="1:14" x14ac:dyDescent="0.25">
      <c r="A107" s="50" t="s">
        <v>154</v>
      </c>
      <c r="B107" s="53"/>
      <c r="C107" s="62">
        <f>C103*0.5</f>
        <v>570.03359999999998</v>
      </c>
      <c r="D107" s="62">
        <f>C107</f>
        <v>570.03359999999998</v>
      </c>
      <c r="E107" s="50"/>
      <c r="F107" s="50"/>
      <c r="G107" s="50"/>
      <c r="H107" s="50"/>
      <c r="I107" s="50"/>
      <c r="J107" s="50"/>
      <c r="K107" s="50"/>
      <c r="L107" s="50"/>
      <c r="M107" s="50"/>
      <c r="N107" s="97">
        <f t="shared" ref="N107:N118" si="43">SUM(B107:M107)</f>
        <v>1140.0672</v>
      </c>
    </row>
    <row r="108" spans="1:14" x14ac:dyDescent="0.25">
      <c r="A108" s="50" t="s">
        <v>155</v>
      </c>
      <c r="B108" s="50"/>
      <c r="C108" s="50"/>
      <c r="D108" s="62">
        <f>D103*0.5</f>
        <v>589.04016000000001</v>
      </c>
      <c r="E108" s="62">
        <f>D108</f>
        <v>589.04016000000001</v>
      </c>
      <c r="F108" s="50"/>
      <c r="G108" s="50"/>
      <c r="H108" s="50"/>
      <c r="I108" s="50"/>
      <c r="J108" s="50"/>
      <c r="K108" s="50"/>
      <c r="L108" s="50"/>
      <c r="M108" s="50"/>
      <c r="N108" s="97">
        <f t="shared" si="43"/>
        <v>1178.08032</v>
      </c>
    </row>
    <row r="109" spans="1:14" x14ac:dyDescent="0.25">
      <c r="A109" s="50" t="s">
        <v>93</v>
      </c>
      <c r="B109" s="50"/>
      <c r="C109" s="50"/>
      <c r="D109" s="50"/>
      <c r="E109" s="62">
        <f>E103*0.5</f>
        <v>681.61199999999985</v>
      </c>
      <c r="F109" s="62">
        <f>E109</f>
        <v>681.61199999999985</v>
      </c>
      <c r="G109" s="50"/>
      <c r="H109" s="50"/>
      <c r="I109" s="50"/>
      <c r="J109" s="50"/>
      <c r="K109" s="50"/>
      <c r="L109" s="50"/>
      <c r="M109" s="50"/>
      <c r="N109" s="97">
        <f t="shared" si="43"/>
        <v>1363.2239999999997</v>
      </c>
    </row>
    <row r="110" spans="1:14" x14ac:dyDescent="0.25">
      <c r="A110" s="50" t="s">
        <v>94</v>
      </c>
      <c r="B110" s="50"/>
      <c r="C110" s="50"/>
      <c r="D110" s="50"/>
      <c r="E110" s="50"/>
      <c r="F110" s="62">
        <f>F103*0.5</f>
        <v>664.45319999999992</v>
      </c>
      <c r="G110" s="62">
        <f>F110</f>
        <v>664.45319999999992</v>
      </c>
      <c r="H110" s="50"/>
      <c r="I110" s="50"/>
      <c r="J110" s="50"/>
      <c r="K110" s="50"/>
      <c r="L110" s="50"/>
      <c r="M110" s="50"/>
      <c r="N110" s="97">
        <f t="shared" si="43"/>
        <v>1328.9063999999998</v>
      </c>
    </row>
    <row r="111" spans="1:14" x14ac:dyDescent="0.25">
      <c r="A111" s="50" t="s">
        <v>95</v>
      </c>
      <c r="B111" s="50"/>
      <c r="C111" s="50"/>
      <c r="D111" s="50"/>
      <c r="E111" s="50"/>
      <c r="F111" s="50"/>
      <c r="G111" s="62">
        <f>G103*0.5</f>
        <v>608.80559999999991</v>
      </c>
      <c r="H111" s="62">
        <f>G111</f>
        <v>608.80559999999991</v>
      </c>
      <c r="I111" s="50"/>
      <c r="J111" s="50"/>
      <c r="K111" s="50"/>
      <c r="L111" s="50"/>
      <c r="M111" s="50"/>
      <c r="N111" s="97">
        <f t="shared" si="43"/>
        <v>1217.6111999999998</v>
      </c>
    </row>
    <row r="112" spans="1:14" x14ac:dyDescent="0.25">
      <c r="A112" s="50" t="s">
        <v>156</v>
      </c>
      <c r="B112" s="50"/>
      <c r="C112" s="50"/>
      <c r="D112" s="50"/>
      <c r="E112" s="50"/>
      <c r="F112" s="50"/>
      <c r="G112" s="50"/>
      <c r="H112" s="62">
        <f>H103*0.5</f>
        <v>794.42399999999986</v>
      </c>
      <c r="I112" s="62">
        <f>H112</f>
        <v>794.42399999999986</v>
      </c>
      <c r="J112" s="50"/>
      <c r="K112" s="50"/>
      <c r="L112" s="50"/>
      <c r="M112" s="50"/>
      <c r="N112" s="97">
        <f t="shared" si="43"/>
        <v>1588.8479999999997</v>
      </c>
    </row>
    <row r="113" spans="1:14" x14ac:dyDescent="0.25">
      <c r="A113" s="50" t="s">
        <v>97</v>
      </c>
      <c r="B113" s="50"/>
      <c r="C113" s="50"/>
      <c r="D113" s="50"/>
      <c r="E113" s="50"/>
      <c r="F113" s="50"/>
      <c r="G113" s="50"/>
      <c r="H113" s="50"/>
      <c r="I113" s="62">
        <f>I103*0.5</f>
        <v>756.31439999999975</v>
      </c>
      <c r="J113" s="62">
        <f>I113</f>
        <v>756.31439999999975</v>
      </c>
      <c r="K113" s="50"/>
      <c r="L113" s="50"/>
      <c r="M113" s="50"/>
      <c r="N113" s="97">
        <f t="shared" si="43"/>
        <v>1512.6287999999995</v>
      </c>
    </row>
    <row r="114" spans="1:14" x14ac:dyDescent="0.25">
      <c r="A114" s="50" t="s">
        <v>98</v>
      </c>
      <c r="B114" s="50"/>
      <c r="C114" s="50"/>
      <c r="D114" s="50"/>
      <c r="E114" s="50"/>
      <c r="F114" s="50"/>
      <c r="G114" s="50"/>
      <c r="H114" s="50"/>
      <c r="I114" s="50"/>
      <c r="J114" s="62">
        <f>J103*0.5</f>
        <v>568.79999999999995</v>
      </c>
      <c r="K114" s="62">
        <f>J114</f>
        <v>568.79999999999995</v>
      </c>
      <c r="L114" s="50"/>
      <c r="M114" s="50"/>
      <c r="N114" s="97">
        <f t="shared" si="43"/>
        <v>1137.5999999999999</v>
      </c>
    </row>
    <row r="115" spans="1:14" x14ac:dyDescent="0.25">
      <c r="A115" s="50" t="s">
        <v>99</v>
      </c>
      <c r="B115" s="50"/>
      <c r="C115" s="50"/>
      <c r="D115" s="50"/>
      <c r="E115" s="50"/>
      <c r="F115" s="50"/>
      <c r="G115" s="50"/>
      <c r="H115" s="50"/>
      <c r="I115" s="50"/>
      <c r="J115" s="50"/>
      <c r="K115" s="62">
        <f>K103*0.5</f>
        <v>568.79999999999995</v>
      </c>
      <c r="L115" s="62">
        <f>K115</f>
        <v>568.79999999999995</v>
      </c>
      <c r="M115" s="50"/>
      <c r="N115" s="97">
        <f t="shared" si="43"/>
        <v>1137.5999999999999</v>
      </c>
    </row>
    <row r="116" spans="1:14" x14ac:dyDescent="0.25">
      <c r="A116" s="50" t="s">
        <v>100</v>
      </c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62">
        <f>L103*0.5</f>
        <v>568.81000000000006</v>
      </c>
      <c r="M116" s="62">
        <f>L116</f>
        <v>568.81000000000006</v>
      </c>
      <c r="N116" s="97">
        <f t="shared" si="43"/>
        <v>1137.6200000000001</v>
      </c>
    </row>
    <row r="117" spans="1:14" x14ac:dyDescent="0.25">
      <c r="A117" s="50" t="s">
        <v>101</v>
      </c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62">
        <f>M103*0.5</f>
        <v>569.13599999999985</v>
      </c>
      <c r="N117" s="97">
        <f t="shared" si="43"/>
        <v>569.13599999999985</v>
      </c>
    </row>
    <row r="118" spans="1:14" x14ac:dyDescent="0.25">
      <c r="A118" s="50" t="s">
        <v>157</v>
      </c>
      <c r="B118" s="62">
        <f>SUM(B106:B117)</f>
        <v>877.34400000000005</v>
      </c>
      <c r="C118" s="62">
        <f t="shared" ref="C118:M118" si="44">SUM(C106:C117)</f>
        <v>1447.3776</v>
      </c>
      <c r="D118" s="62">
        <f t="shared" si="44"/>
        <v>1159.07376</v>
      </c>
      <c r="E118" s="62">
        <f t="shared" si="44"/>
        <v>1270.6521599999999</v>
      </c>
      <c r="F118" s="62">
        <f t="shared" si="44"/>
        <v>1346.0651999999998</v>
      </c>
      <c r="G118" s="62">
        <f t="shared" si="44"/>
        <v>1273.2587999999998</v>
      </c>
      <c r="H118" s="62">
        <f t="shared" si="44"/>
        <v>1403.2295999999997</v>
      </c>
      <c r="I118" s="62">
        <f t="shared" si="44"/>
        <v>1550.7383999999997</v>
      </c>
      <c r="J118" s="62">
        <f t="shared" si="44"/>
        <v>1325.1143999999997</v>
      </c>
      <c r="K118" s="62">
        <f t="shared" si="44"/>
        <v>1137.5999999999999</v>
      </c>
      <c r="L118" s="62">
        <f t="shared" si="44"/>
        <v>1137.6100000000001</v>
      </c>
      <c r="M118" s="62">
        <f t="shared" si="44"/>
        <v>1137.9459999999999</v>
      </c>
      <c r="N118" s="97">
        <f t="shared" si="43"/>
        <v>15066.00992</v>
      </c>
    </row>
    <row r="119" spans="1:14" x14ac:dyDescent="0.25">
      <c r="B119" s="1" t="s">
        <v>158</v>
      </c>
    </row>
    <row r="120" spans="1:14" x14ac:dyDescent="0.25">
      <c r="A120" s="50"/>
      <c r="B120" s="52" t="s">
        <v>61</v>
      </c>
      <c r="C120" s="53" t="s">
        <v>154</v>
      </c>
      <c r="D120" s="53" t="s">
        <v>62</v>
      </c>
      <c r="E120" s="54" t="s">
        <v>93</v>
      </c>
      <c r="F120" s="54" t="s">
        <v>94</v>
      </c>
      <c r="G120" s="55" t="s">
        <v>95</v>
      </c>
      <c r="H120" s="56" t="s">
        <v>96</v>
      </c>
      <c r="I120" s="56" t="s">
        <v>97</v>
      </c>
      <c r="J120" s="53" t="s">
        <v>98</v>
      </c>
      <c r="K120" s="53" t="s">
        <v>99</v>
      </c>
      <c r="L120" s="53" t="s">
        <v>100</v>
      </c>
      <c r="M120" s="53" t="s">
        <v>101</v>
      </c>
      <c r="N120" s="53" t="s">
        <v>118</v>
      </c>
    </row>
    <row r="121" spans="1:14" x14ac:dyDescent="0.25">
      <c r="A121" s="50" t="s">
        <v>159</v>
      </c>
      <c r="B121" s="58">
        <f>B33</f>
        <v>221.31200000000004</v>
      </c>
      <c r="C121" s="58">
        <f>C33</f>
        <v>158.08000000000004</v>
      </c>
      <c r="D121" s="58">
        <f>D33</f>
        <v>161.23200000000006</v>
      </c>
      <c r="E121" s="58">
        <f>E33</f>
        <v>189.6</v>
      </c>
      <c r="F121" s="58">
        <f>F33</f>
        <v>186.44</v>
      </c>
      <c r="G121" s="58">
        <f>G33</f>
        <v>164.32</v>
      </c>
      <c r="H121" s="58">
        <f>H33</f>
        <v>221.2</v>
      </c>
      <c r="I121" s="58">
        <f>I33</f>
        <v>214.88</v>
      </c>
      <c r="J121" s="58">
        <f>J33</f>
        <v>158</v>
      </c>
      <c r="K121" s="58">
        <f>K33</f>
        <v>158</v>
      </c>
      <c r="L121" s="58">
        <f>L33</f>
        <v>158</v>
      </c>
      <c r="M121" s="58">
        <f>M33</f>
        <v>158.19999999999999</v>
      </c>
      <c r="N121" s="50"/>
    </row>
    <row r="122" spans="1:14" x14ac:dyDescent="0.25">
      <c r="A122" s="50" t="s">
        <v>162</v>
      </c>
      <c r="B122" s="50">
        <v>0.5</v>
      </c>
      <c r="C122" s="50">
        <v>0.5</v>
      </c>
      <c r="D122" s="50">
        <v>0.5</v>
      </c>
      <c r="E122" s="50">
        <v>0.5</v>
      </c>
      <c r="F122" s="50">
        <v>0.5</v>
      </c>
      <c r="G122" s="50">
        <v>0.5</v>
      </c>
      <c r="H122" s="50">
        <v>0.5</v>
      </c>
      <c r="I122" s="50">
        <v>0.5</v>
      </c>
      <c r="J122" s="50">
        <v>0.5</v>
      </c>
      <c r="K122" s="50">
        <v>0.5</v>
      </c>
      <c r="L122" s="50">
        <v>0.5</v>
      </c>
      <c r="M122" s="50">
        <v>0.5</v>
      </c>
      <c r="N122" s="50"/>
    </row>
    <row r="123" spans="1:14" x14ac:dyDescent="0.25">
      <c r="A123" s="50" t="s">
        <v>160</v>
      </c>
      <c r="B123" s="50">
        <f>B121*B122</f>
        <v>110.65600000000002</v>
      </c>
      <c r="C123" s="50">
        <f t="shared" ref="C123:M123" si="45">C121*C122</f>
        <v>79.04000000000002</v>
      </c>
      <c r="D123" s="50">
        <f t="shared" si="45"/>
        <v>80.616000000000028</v>
      </c>
      <c r="E123" s="50">
        <f t="shared" si="45"/>
        <v>94.8</v>
      </c>
      <c r="F123" s="50">
        <f t="shared" si="45"/>
        <v>93.22</v>
      </c>
      <c r="G123" s="50">
        <f t="shared" si="45"/>
        <v>82.16</v>
      </c>
      <c r="H123" s="50">
        <f t="shared" si="45"/>
        <v>110.6</v>
      </c>
      <c r="I123" s="50">
        <f t="shared" si="45"/>
        <v>107.44</v>
      </c>
      <c r="J123" s="50">
        <f t="shared" si="45"/>
        <v>79</v>
      </c>
      <c r="K123" s="50">
        <f t="shared" si="45"/>
        <v>79</v>
      </c>
      <c r="L123" s="50">
        <f t="shared" si="45"/>
        <v>79</v>
      </c>
      <c r="M123" s="50">
        <f t="shared" si="45"/>
        <v>79.099999999999994</v>
      </c>
      <c r="N123" s="50"/>
    </row>
    <row r="124" spans="1:14" x14ac:dyDescent="0.25">
      <c r="A124" s="50" t="s">
        <v>161</v>
      </c>
      <c r="B124" s="50" cm="1">
        <f t="array" ref="B124:M124">B123:M123</f>
        <v>110.65600000000002</v>
      </c>
      <c r="C124" s="50">
        <v>79.04000000000002</v>
      </c>
      <c r="D124" s="50">
        <v>80.616000000000028</v>
      </c>
      <c r="E124" s="50">
        <v>94.8</v>
      </c>
      <c r="F124" s="50">
        <v>93.22</v>
      </c>
      <c r="G124" s="50">
        <v>82.16</v>
      </c>
      <c r="H124" s="50">
        <v>110.6</v>
      </c>
      <c r="I124" s="50">
        <v>107.44</v>
      </c>
      <c r="J124" s="50">
        <v>79</v>
      </c>
      <c r="K124" s="50">
        <v>79</v>
      </c>
      <c r="L124" s="50">
        <v>79</v>
      </c>
      <c r="M124" s="50">
        <v>79.099999999999994</v>
      </c>
      <c r="N124" s="50"/>
    </row>
    <row r="125" spans="1:14" x14ac:dyDescent="0.25">
      <c r="A125" s="50" t="s">
        <v>163</v>
      </c>
      <c r="B125" s="63">
        <v>8</v>
      </c>
      <c r="C125" s="63">
        <v>8</v>
      </c>
      <c r="D125" s="63">
        <v>8</v>
      </c>
      <c r="E125" s="63">
        <v>8</v>
      </c>
      <c r="F125" s="63">
        <v>8</v>
      </c>
      <c r="G125" s="63">
        <v>8</v>
      </c>
      <c r="H125" s="63">
        <v>8</v>
      </c>
      <c r="I125" s="63">
        <v>8</v>
      </c>
      <c r="J125" s="63">
        <v>8</v>
      </c>
      <c r="K125" s="63">
        <v>8</v>
      </c>
      <c r="L125" s="63">
        <v>8</v>
      </c>
      <c r="M125" s="63">
        <v>8</v>
      </c>
      <c r="N125" s="50"/>
    </row>
    <row r="126" spans="1:14" x14ac:dyDescent="0.25">
      <c r="A126" s="50" t="s">
        <v>164</v>
      </c>
      <c r="B126" s="62">
        <f>B124*B125</f>
        <v>885.24800000000016</v>
      </c>
      <c r="C126" s="62">
        <f t="shared" ref="C126:M126" si="46">C124*C125</f>
        <v>632.32000000000016</v>
      </c>
      <c r="D126" s="62">
        <f t="shared" si="46"/>
        <v>644.92800000000022</v>
      </c>
      <c r="E126" s="62">
        <f t="shared" si="46"/>
        <v>758.4</v>
      </c>
      <c r="F126" s="62">
        <f t="shared" si="46"/>
        <v>745.76</v>
      </c>
      <c r="G126" s="62">
        <f t="shared" si="46"/>
        <v>657.28</v>
      </c>
      <c r="H126" s="62">
        <f t="shared" si="46"/>
        <v>884.8</v>
      </c>
      <c r="I126" s="62">
        <f t="shared" si="46"/>
        <v>859.52</v>
      </c>
      <c r="J126" s="62">
        <f t="shared" si="46"/>
        <v>632</v>
      </c>
      <c r="K126" s="62">
        <f t="shared" si="46"/>
        <v>632</v>
      </c>
      <c r="L126" s="62">
        <f t="shared" si="46"/>
        <v>632</v>
      </c>
      <c r="M126" s="62">
        <f t="shared" si="46"/>
        <v>632.79999999999995</v>
      </c>
      <c r="N126" s="101">
        <f>SUM(B126:M126)</f>
        <v>8597.0560000000005</v>
      </c>
    </row>
    <row r="127" spans="1:14" x14ac:dyDescent="0.25">
      <c r="B127" t="s">
        <v>165</v>
      </c>
    </row>
    <row r="128" spans="1:14" x14ac:dyDescent="0.25">
      <c r="A128" s="50"/>
      <c r="B128" s="52" t="s">
        <v>61</v>
      </c>
      <c r="C128" s="53" t="s">
        <v>154</v>
      </c>
      <c r="D128" s="53" t="s">
        <v>62</v>
      </c>
      <c r="E128" s="54" t="s">
        <v>93</v>
      </c>
      <c r="F128" s="54" t="s">
        <v>94</v>
      </c>
      <c r="G128" s="55" t="s">
        <v>95</v>
      </c>
      <c r="H128" s="56" t="s">
        <v>96</v>
      </c>
      <c r="I128" s="56" t="s">
        <v>97</v>
      </c>
      <c r="J128" s="53" t="s">
        <v>98</v>
      </c>
      <c r="K128" s="53" t="s">
        <v>99</v>
      </c>
      <c r="L128" s="53" t="s">
        <v>100</v>
      </c>
      <c r="M128" s="53" t="s">
        <v>101</v>
      </c>
      <c r="N128" s="53" t="s">
        <v>118</v>
      </c>
    </row>
    <row r="129" spans="1:14" x14ac:dyDescent="0.25">
      <c r="A129" s="50" t="s">
        <v>159</v>
      </c>
      <c r="B129" s="58">
        <f>B42</f>
        <v>327.22560000000004</v>
      </c>
      <c r="C129" s="58">
        <f>C42</f>
        <v>237.12</v>
      </c>
      <c r="D129" s="58">
        <f>D42</f>
        <v>240.9024</v>
      </c>
      <c r="E129" s="58">
        <f>E42</f>
        <v>284.39999999999998</v>
      </c>
      <c r="F129" s="58">
        <f>F42</f>
        <v>280.60799999999995</v>
      </c>
      <c r="G129" s="58">
        <f>G42</f>
        <v>244.58399999999997</v>
      </c>
      <c r="H129" s="58">
        <f>H42</f>
        <v>331.79999999999995</v>
      </c>
      <c r="I129" s="58">
        <f>I42</f>
        <v>324.21599999999995</v>
      </c>
      <c r="J129" s="58">
        <f>J42</f>
        <v>237</v>
      </c>
      <c r="K129" s="58">
        <f>K42</f>
        <v>237</v>
      </c>
      <c r="L129" s="58">
        <f>L42</f>
        <v>237</v>
      </c>
      <c r="M129" s="58">
        <f>M42</f>
        <v>237.04</v>
      </c>
      <c r="N129" s="50"/>
    </row>
    <row r="130" spans="1:14" x14ac:dyDescent="0.25">
      <c r="A130" s="50" t="s">
        <v>162</v>
      </c>
      <c r="B130" s="50">
        <v>0.75</v>
      </c>
      <c r="C130" s="50">
        <v>0.75</v>
      </c>
      <c r="D130" s="50">
        <v>0.75</v>
      </c>
      <c r="E130" s="50">
        <v>0.75</v>
      </c>
      <c r="F130" s="50">
        <v>0.75</v>
      </c>
      <c r="G130" s="50">
        <v>0.75</v>
      </c>
      <c r="H130" s="50">
        <v>0.75</v>
      </c>
      <c r="I130" s="50">
        <v>0.75</v>
      </c>
      <c r="J130" s="50">
        <v>0.75</v>
      </c>
      <c r="K130" s="50">
        <v>0.75</v>
      </c>
      <c r="L130" s="50">
        <v>0.75</v>
      </c>
      <c r="M130" s="50">
        <v>0.75</v>
      </c>
      <c r="N130" s="50"/>
    </row>
    <row r="131" spans="1:14" x14ac:dyDescent="0.25">
      <c r="A131" s="50" t="s">
        <v>160</v>
      </c>
      <c r="B131" s="58">
        <f>B129*B130</f>
        <v>245.41920000000005</v>
      </c>
      <c r="C131" s="58">
        <f t="shared" ref="C131:M131" si="47">C129*C130</f>
        <v>177.84</v>
      </c>
      <c r="D131" s="58">
        <f t="shared" si="47"/>
        <v>180.67680000000001</v>
      </c>
      <c r="E131" s="58">
        <f t="shared" si="47"/>
        <v>213.29999999999998</v>
      </c>
      <c r="F131" s="58">
        <f t="shared" si="47"/>
        <v>210.45599999999996</v>
      </c>
      <c r="G131" s="58">
        <f t="shared" si="47"/>
        <v>183.43799999999999</v>
      </c>
      <c r="H131" s="58">
        <f t="shared" si="47"/>
        <v>248.84999999999997</v>
      </c>
      <c r="I131" s="58">
        <f t="shared" si="47"/>
        <v>243.16199999999998</v>
      </c>
      <c r="J131" s="58">
        <f t="shared" si="47"/>
        <v>177.75</v>
      </c>
      <c r="K131" s="58">
        <f t="shared" si="47"/>
        <v>177.75</v>
      </c>
      <c r="L131" s="58">
        <f t="shared" si="47"/>
        <v>177.75</v>
      </c>
      <c r="M131" s="58">
        <f t="shared" si="47"/>
        <v>177.78</v>
      </c>
      <c r="N131" s="50"/>
    </row>
    <row r="132" spans="1:14" x14ac:dyDescent="0.25">
      <c r="A132" s="50" t="s">
        <v>161</v>
      </c>
      <c r="B132" s="50" cm="1">
        <f t="array" ref="B132:M132">B131:M131</f>
        <v>245.41920000000005</v>
      </c>
      <c r="C132" s="50">
        <v>177.84</v>
      </c>
      <c r="D132" s="50">
        <v>180.67680000000001</v>
      </c>
      <c r="E132" s="50">
        <v>213.29999999999998</v>
      </c>
      <c r="F132" s="50">
        <v>210.45599999999996</v>
      </c>
      <c r="G132" s="50">
        <v>183.43799999999999</v>
      </c>
      <c r="H132" s="50">
        <v>248.84999999999997</v>
      </c>
      <c r="I132" s="50">
        <v>243.16199999999998</v>
      </c>
      <c r="J132" s="50">
        <v>177.75</v>
      </c>
      <c r="K132" s="50">
        <v>177.75</v>
      </c>
      <c r="L132" s="50">
        <v>177.75</v>
      </c>
      <c r="M132" s="50">
        <v>177.78</v>
      </c>
      <c r="N132" s="50"/>
    </row>
    <row r="133" spans="1:14" x14ac:dyDescent="0.25">
      <c r="A133" s="50" t="s">
        <v>166</v>
      </c>
      <c r="B133" s="63">
        <v>10</v>
      </c>
      <c r="C133" s="63">
        <v>10</v>
      </c>
      <c r="D133" s="63">
        <v>10</v>
      </c>
      <c r="E133" s="63">
        <v>10</v>
      </c>
      <c r="F133" s="63">
        <v>10</v>
      </c>
      <c r="G133" s="63">
        <v>10</v>
      </c>
      <c r="H133" s="63">
        <v>10</v>
      </c>
      <c r="I133" s="63">
        <v>10</v>
      </c>
      <c r="J133" s="63">
        <v>10</v>
      </c>
      <c r="K133" s="63">
        <v>10</v>
      </c>
      <c r="L133" s="63">
        <v>10</v>
      </c>
      <c r="M133" s="63">
        <v>10</v>
      </c>
      <c r="N133" s="50"/>
    </row>
    <row r="134" spans="1:14" x14ac:dyDescent="0.25">
      <c r="A134" s="50" t="s">
        <v>164</v>
      </c>
      <c r="B134" s="62">
        <f>B132*B133</f>
        <v>2454.1920000000005</v>
      </c>
      <c r="C134" s="62">
        <f t="shared" ref="C134:M134" si="48">C132*C133</f>
        <v>1778.4</v>
      </c>
      <c r="D134" s="62">
        <f t="shared" si="48"/>
        <v>1806.768</v>
      </c>
      <c r="E134" s="62">
        <f t="shared" si="48"/>
        <v>2133</v>
      </c>
      <c r="F134" s="62">
        <f t="shared" si="48"/>
        <v>2104.5599999999995</v>
      </c>
      <c r="G134" s="62">
        <f t="shared" si="48"/>
        <v>1834.3799999999999</v>
      </c>
      <c r="H134" s="62">
        <f t="shared" si="48"/>
        <v>2488.4999999999995</v>
      </c>
      <c r="I134" s="62">
        <f t="shared" si="48"/>
        <v>2431.62</v>
      </c>
      <c r="J134" s="62">
        <f t="shared" si="48"/>
        <v>1777.5</v>
      </c>
      <c r="K134" s="62">
        <f t="shared" si="48"/>
        <v>1777.5</v>
      </c>
      <c r="L134" s="62">
        <f t="shared" si="48"/>
        <v>1777.5</v>
      </c>
      <c r="M134" s="62">
        <f t="shared" si="48"/>
        <v>1777.8</v>
      </c>
      <c r="N134" s="101">
        <f>SUM(B134:M134)</f>
        <v>24141.719999999998</v>
      </c>
    </row>
    <row r="135" spans="1:14" x14ac:dyDescent="0.25">
      <c r="B135" t="s">
        <v>173</v>
      </c>
      <c r="C135" t="s">
        <v>172</v>
      </c>
    </row>
    <row r="136" spans="1:14" x14ac:dyDescent="0.25">
      <c r="A136" s="50"/>
      <c r="B136" s="52" t="s">
        <v>61</v>
      </c>
      <c r="C136" s="53" t="s">
        <v>154</v>
      </c>
      <c r="D136" s="53" t="s">
        <v>62</v>
      </c>
      <c r="E136" s="54" t="s">
        <v>93</v>
      </c>
      <c r="F136" s="54" t="s">
        <v>94</v>
      </c>
      <c r="G136" s="55" t="s">
        <v>95</v>
      </c>
      <c r="H136" s="56" t="s">
        <v>96</v>
      </c>
      <c r="I136" s="56" t="s">
        <v>97</v>
      </c>
      <c r="J136" s="53" t="s">
        <v>98</v>
      </c>
      <c r="K136" s="53" t="s">
        <v>99</v>
      </c>
      <c r="L136" s="53" t="s">
        <v>100</v>
      </c>
      <c r="M136" s="53" t="s">
        <v>101</v>
      </c>
      <c r="N136" s="53" t="s">
        <v>118</v>
      </c>
    </row>
    <row r="137" spans="1:14" x14ac:dyDescent="0.25">
      <c r="A137" s="50" t="s">
        <v>167</v>
      </c>
      <c r="B137" s="63">
        <v>10000</v>
      </c>
      <c r="C137" s="62">
        <f>B154</f>
        <v>11049.375999999998</v>
      </c>
      <c r="D137" s="62">
        <f>C148</f>
        <v>13571.690399999999</v>
      </c>
      <c r="E137" s="62">
        <f>D148</f>
        <v>16523.960639999998</v>
      </c>
      <c r="F137" s="62">
        <f>E148</f>
        <v>20502.526479999997</v>
      </c>
      <c r="G137" s="62">
        <f>F148</f>
        <v>24396.361279999997</v>
      </c>
      <c r="H137" s="62">
        <f>G148</f>
        <v>27110.852479999998</v>
      </c>
      <c r="I137" s="62">
        <f>H148</f>
        <v>31227.972879999998</v>
      </c>
      <c r="J137" s="62">
        <f>I148</f>
        <v>35181.784480000002</v>
      </c>
      <c r="K137" s="62">
        <f>J148</f>
        <v>37894.19008</v>
      </c>
      <c r="L137" s="62">
        <f>K148</f>
        <v>40922.090080000002</v>
      </c>
      <c r="M137" s="62">
        <f>L148</f>
        <v>43949.930080000006</v>
      </c>
      <c r="N137" s="50"/>
    </row>
    <row r="138" spans="1:14" x14ac:dyDescent="0.25">
      <c r="A138" s="50" t="s">
        <v>181</v>
      </c>
      <c r="B138" s="62">
        <f>B24</f>
        <v>10788.960000000001</v>
      </c>
      <c r="C138" s="62">
        <f>C24</f>
        <v>8299.2000000000007</v>
      </c>
      <c r="D138" s="62">
        <f>D24</f>
        <v>8299.2000000000007</v>
      </c>
      <c r="E138" s="62">
        <f>E24</f>
        <v>9954</v>
      </c>
      <c r="F138" s="62">
        <f>F24</f>
        <v>9954</v>
      </c>
      <c r="G138" s="62">
        <f>G24</f>
        <v>8295</v>
      </c>
      <c r="H138" s="62">
        <f>H24</f>
        <v>10800.089999999998</v>
      </c>
      <c r="I138" s="62">
        <f>I24</f>
        <v>10800.089999999998</v>
      </c>
      <c r="J138" s="62">
        <f>J24</f>
        <v>8295</v>
      </c>
      <c r="K138" s="62">
        <f>K24</f>
        <v>8295</v>
      </c>
      <c r="L138" s="62">
        <f>L24</f>
        <v>8295</v>
      </c>
      <c r="M138" s="62">
        <f>M24</f>
        <v>8295</v>
      </c>
      <c r="N138" s="50"/>
    </row>
    <row r="139" spans="1:14" x14ac:dyDescent="0.25">
      <c r="A139" s="50" t="s">
        <v>168</v>
      </c>
      <c r="B139" s="62">
        <f>SUM(B137:B138)</f>
        <v>20788.96</v>
      </c>
      <c r="C139" s="62">
        <f>SUM(C137:C138)</f>
        <v>19348.576000000001</v>
      </c>
      <c r="D139" s="62">
        <f>SUM(D137:D138)</f>
        <v>21870.8904</v>
      </c>
      <c r="E139" s="62">
        <f>SUM(E137:E138)</f>
        <v>26477.960639999998</v>
      </c>
      <c r="F139" s="62">
        <f>SUM(F137:F138)</f>
        <v>30456.526479999997</v>
      </c>
      <c r="G139" s="62">
        <f>SUM(G137:G138)</f>
        <v>32691.361279999997</v>
      </c>
      <c r="H139" s="62">
        <f>SUM(H137:H138)</f>
        <v>37910.942479999998</v>
      </c>
      <c r="I139" s="62">
        <f>SUM(I137:I138)</f>
        <v>42028.062879999998</v>
      </c>
      <c r="J139" s="62">
        <f>SUM(J137:J138)</f>
        <v>43476.784480000002</v>
      </c>
      <c r="K139" s="62">
        <f>SUM(K137:K138)</f>
        <v>46189.19008</v>
      </c>
      <c r="L139" s="62">
        <f>SUM(L137:L138)</f>
        <v>49217.090080000002</v>
      </c>
      <c r="M139" s="62">
        <f>SUM(M137:M138)</f>
        <v>52244.930080000006</v>
      </c>
      <c r="N139" s="53"/>
    </row>
    <row r="140" spans="1:14" x14ac:dyDescent="0.25">
      <c r="A140" s="53" t="s">
        <v>169</v>
      </c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</row>
    <row r="141" spans="1:14" x14ac:dyDescent="0.25">
      <c r="A141" s="50" t="s">
        <v>174</v>
      </c>
      <c r="B141" s="62">
        <f>B126</f>
        <v>885.24800000000016</v>
      </c>
      <c r="C141" s="62">
        <f>C126</f>
        <v>632.32000000000016</v>
      </c>
      <c r="D141" s="62">
        <f>D126</f>
        <v>644.92800000000022</v>
      </c>
      <c r="E141" s="62">
        <f>E126</f>
        <v>758.4</v>
      </c>
      <c r="F141" s="62">
        <f>F126</f>
        <v>745.76</v>
      </c>
      <c r="G141" s="62">
        <f>G126</f>
        <v>657.28</v>
      </c>
      <c r="H141" s="62">
        <f>H126</f>
        <v>884.8</v>
      </c>
      <c r="I141" s="62">
        <f>I126</f>
        <v>859.52</v>
      </c>
      <c r="J141" s="62">
        <f>J126</f>
        <v>632</v>
      </c>
      <c r="K141" s="62">
        <f>K126</f>
        <v>632</v>
      </c>
      <c r="L141" s="62">
        <f>L126</f>
        <v>632</v>
      </c>
      <c r="M141" s="62">
        <f>M126</f>
        <v>632.79999999999995</v>
      </c>
      <c r="N141" s="50"/>
    </row>
    <row r="142" spans="1:14" x14ac:dyDescent="0.25">
      <c r="A142" s="50" t="s">
        <v>175</v>
      </c>
      <c r="B142" s="62">
        <f>B134</f>
        <v>2454.1920000000005</v>
      </c>
      <c r="C142" s="62">
        <f>C134</f>
        <v>1778.4</v>
      </c>
      <c r="D142" s="62">
        <f>D134</f>
        <v>1806.768</v>
      </c>
      <c r="E142" s="62">
        <f>E134</f>
        <v>2133</v>
      </c>
      <c r="F142" s="62">
        <f>F134</f>
        <v>2104.5599999999995</v>
      </c>
      <c r="G142" s="62">
        <f>G134</f>
        <v>1834.3799999999999</v>
      </c>
      <c r="H142" s="62">
        <f>H134</f>
        <v>2488.4999999999995</v>
      </c>
      <c r="I142" s="62">
        <f>I134</f>
        <v>2431.62</v>
      </c>
      <c r="J142" s="62">
        <f>J134</f>
        <v>1777.5</v>
      </c>
      <c r="K142" s="62">
        <f>K134</f>
        <v>1777.5</v>
      </c>
      <c r="L142" s="62">
        <f>L134</f>
        <v>1777.5</v>
      </c>
      <c r="M142" s="62">
        <f>M134</f>
        <v>1777.8</v>
      </c>
      <c r="N142" s="50"/>
    </row>
    <row r="143" spans="1:14" x14ac:dyDescent="0.25">
      <c r="A143" s="50" t="s">
        <v>176</v>
      </c>
      <c r="B143" s="62">
        <f>B71</f>
        <v>592.80000000000007</v>
      </c>
      <c r="C143" s="62">
        <f>C71</f>
        <v>988.78800000000024</v>
      </c>
      <c r="D143" s="62">
        <f>D71</f>
        <v>806.16000000000031</v>
      </c>
      <c r="E143" s="62">
        <f>E71</f>
        <v>883.38200000000006</v>
      </c>
      <c r="F143" s="62">
        <f>F71</f>
        <v>933.78</v>
      </c>
      <c r="G143" s="62">
        <f>G71</f>
        <v>885.58999999999992</v>
      </c>
      <c r="H143" s="62">
        <f>H71</f>
        <v>976.44</v>
      </c>
      <c r="I143" s="62">
        <f>I71</f>
        <v>1074.4000000000001</v>
      </c>
      <c r="J143" s="62">
        <f>J71</f>
        <v>917.98</v>
      </c>
      <c r="K143" s="62">
        <f>K71</f>
        <v>790</v>
      </c>
      <c r="L143" s="62">
        <f>L71</f>
        <v>790.05</v>
      </c>
      <c r="M143" s="62">
        <f>M71</f>
        <v>790.05</v>
      </c>
      <c r="N143" s="50"/>
    </row>
    <row r="144" spans="1:14" x14ac:dyDescent="0.25">
      <c r="A144" s="50" t="s">
        <v>177</v>
      </c>
      <c r="B144" s="62">
        <f>B118</f>
        <v>877.34400000000005</v>
      </c>
      <c r="C144" s="62">
        <f>C118</f>
        <v>1447.3776</v>
      </c>
      <c r="D144" s="62">
        <f>D118</f>
        <v>1159.07376</v>
      </c>
      <c r="E144" s="62">
        <f>E118</f>
        <v>1270.6521599999999</v>
      </c>
      <c r="F144" s="62">
        <f>F118</f>
        <v>1346.0651999999998</v>
      </c>
      <c r="G144" s="62">
        <f>G118</f>
        <v>1273.2587999999998</v>
      </c>
      <c r="H144" s="62">
        <f>H118</f>
        <v>1403.2295999999997</v>
      </c>
      <c r="I144" s="62">
        <f>I118</f>
        <v>1550.7383999999997</v>
      </c>
      <c r="J144" s="62">
        <f>J118</f>
        <v>1325.1143999999997</v>
      </c>
      <c r="K144" s="62">
        <f>K118</f>
        <v>1137.5999999999999</v>
      </c>
      <c r="L144" s="62">
        <f>L118</f>
        <v>1137.6100000000001</v>
      </c>
      <c r="M144" s="62">
        <f>M118</f>
        <v>1137.9459999999999</v>
      </c>
      <c r="N144" s="50"/>
    </row>
    <row r="145" spans="1:14" x14ac:dyDescent="0.25">
      <c r="A145" s="50" t="s">
        <v>178</v>
      </c>
      <c r="B145" s="63">
        <v>900</v>
      </c>
      <c r="C145" s="63">
        <v>900</v>
      </c>
      <c r="D145" s="63">
        <v>900</v>
      </c>
      <c r="E145" s="63">
        <v>900</v>
      </c>
      <c r="F145" s="63">
        <v>900</v>
      </c>
      <c r="G145" s="63">
        <v>900</v>
      </c>
      <c r="H145" s="63">
        <v>900</v>
      </c>
      <c r="I145" s="63">
        <v>900</v>
      </c>
      <c r="J145" s="63">
        <v>900</v>
      </c>
      <c r="K145" s="63">
        <v>900</v>
      </c>
      <c r="L145" s="63">
        <v>900</v>
      </c>
      <c r="M145" s="63">
        <v>900</v>
      </c>
      <c r="N145" s="50"/>
    </row>
    <row r="146" spans="1:14" x14ac:dyDescent="0.25">
      <c r="A146" s="50" t="s">
        <v>170</v>
      </c>
      <c r="B146" s="63">
        <v>30</v>
      </c>
      <c r="C146" s="63">
        <v>30</v>
      </c>
      <c r="D146" s="63">
        <v>30</v>
      </c>
      <c r="E146" s="63">
        <v>30</v>
      </c>
      <c r="F146" s="63">
        <v>30</v>
      </c>
      <c r="G146" s="63">
        <v>30</v>
      </c>
      <c r="H146" s="63">
        <v>30</v>
      </c>
      <c r="I146" s="63">
        <v>30</v>
      </c>
      <c r="J146" s="63">
        <v>30</v>
      </c>
      <c r="K146" s="63">
        <v>30</v>
      </c>
      <c r="L146" s="63">
        <v>30</v>
      </c>
      <c r="M146" s="63">
        <v>30</v>
      </c>
      <c r="N146" s="50"/>
    </row>
    <row r="147" spans="1:14" x14ac:dyDescent="0.25">
      <c r="A147" s="50" t="s">
        <v>180</v>
      </c>
      <c r="B147" s="63">
        <v>4000</v>
      </c>
      <c r="C147" s="63">
        <v>0</v>
      </c>
      <c r="D147" s="63">
        <v>0</v>
      </c>
      <c r="E147" s="63">
        <v>0</v>
      </c>
      <c r="F147" s="63">
        <v>0</v>
      </c>
      <c r="G147" s="63">
        <v>0</v>
      </c>
      <c r="H147" s="63">
        <v>0</v>
      </c>
      <c r="I147" s="63">
        <v>0</v>
      </c>
      <c r="J147" s="63">
        <v>0</v>
      </c>
      <c r="K147" s="63">
        <v>0</v>
      </c>
      <c r="L147" s="63">
        <v>0</v>
      </c>
      <c r="M147" s="63">
        <v>0</v>
      </c>
      <c r="N147" s="50"/>
    </row>
    <row r="148" spans="1:14" x14ac:dyDescent="0.25">
      <c r="A148" s="50" t="s">
        <v>187</v>
      </c>
      <c r="B148" s="62">
        <f>B139-SUM(B141:B147)</f>
        <v>11049.375999999998</v>
      </c>
      <c r="C148" s="62">
        <f t="shared" ref="C148:K148" si="49">C139-SUM(C141:C147)</f>
        <v>13571.690399999999</v>
      </c>
      <c r="D148" s="62">
        <f t="shared" si="49"/>
        <v>16523.960639999998</v>
      </c>
      <c r="E148" s="62">
        <f t="shared" si="49"/>
        <v>20502.526479999997</v>
      </c>
      <c r="F148" s="62">
        <f t="shared" si="49"/>
        <v>24396.361279999997</v>
      </c>
      <c r="G148" s="62">
        <f t="shared" si="49"/>
        <v>27110.852479999998</v>
      </c>
      <c r="H148" s="62">
        <f t="shared" si="49"/>
        <v>31227.972879999998</v>
      </c>
      <c r="I148" s="62">
        <f t="shared" si="49"/>
        <v>35181.784480000002</v>
      </c>
      <c r="J148" s="62">
        <f t="shared" si="49"/>
        <v>37894.19008</v>
      </c>
      <c r="K148" s="62">
        <f t="shared" si="49"/>
        <v>40922.090080000002</v>
      </c>
      <c r="L148" s="62">
        <f>L139-SUM(L141:L147)</f>
        <v>43949.930080000006</v>
      </c>
      <c r="M148" s="62">
        <f>M139-SUM(M141:M146)</f>
        <v>46976.334080000008</v>
      </c>
      <c r="N148" s="50"/>
    </row>
    <row r="149" spans="1:14" x14ac:dyDescent="0.25">
      <c r="A149" s="53" t="s">
        <v>179</v>
      </c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</row>
    <row r="150" spans="1:14" x14ac:dyDescent="0.25">
      <c r="A150" s="50" t="s">
        <v>183</v>
      </c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</row>
    <row r="151" spans="1:14" x14ac:dyDescent="0.25">
      <c r="A151" s="50" t="s">
        <v>184</v>
      </c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</row>
    <row r="152" spans="1:14" x14ac:dyDescent="0.25">
      <c r="A152" s="50" t="s">
        <v>185</v>
      </c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</row>
    <row r="153" spans="1:14" x14ac:dyDescent="0.25">
      <c r="A153" s="50" t="s">
        <v>186</v>
      </c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</row>
    <row r="154" spans="1:14" x14ac:dyDescent="0.25">
      <c r="A154" s="50" t="s">
        <v>188</v>
      </c>
      <c r="B154" s="62">
        <f>B148</f>
        <v>11049.375999999998</v>
      </c>
      <c r="C154" s="62">
        <f t="shared" ref="C154:M154" si="50">C148</f>
        <v>13571.690399999999</v>
      </c>
      <c r="D154" s="62">
        <f t="shared" si="50"/>
        <v>16523.960639999998</v>
      </c>
      <c r="E154" s="62">
        <f t="shared" si="50"/>
        <v>20502.526479999997</v>
      </c>
      <c r="F154" s="62">
        <f t="shared" si="50"/>
        <v>24396.361279999997</v>
      </c>
      <c r="G154" s="62">
        <f t="shared" si="50"/>
        <v>27110.852479999998</v>
      </c>
      <c r="H154" s="62">
        <f t="shared" si="50"/>
        <v>31227.972879999998</v>
      </c>
      <c r="I154" s="62">
        <f t="shared" si="50"/>
        <v>35181.784480000002</v>
      </c>
      <c r="J154" s="62">
        <f t="shared" si="50"/>
        <v>37894.19008</v>
      </c>
      <c r="K154" s="62">
        <f t="shared" si="50"/>
        <v>40922.090080000002</v>
      </c>
      <c r="L154" s="62">
        <f t="shared" si="50"/>
        <v>43949.930080000006</v>
      </c>
      <c r="M154" s="62">
        <f t="shared" si="50"/>
        <v>46976.334080000008</v>
      </c>
      <c r="N154" s="62">
        <f>M154</f>
        <v>46976.334080000008</v>
      </c>
    </row>
    <row r="155" spans="1:14" x14ac:dyDescent="0.2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7AE9-E0B6-430C-8B38-6980DF1BC645}">
  <dimension ref="A1:V143"/>
  <sheetViews>
    <sheetView topLeftCell="G1" workbookViewId="0">
      <selection activeCell="P11" sqref="P11:U15"/>
    </sheetView>
  </sheetViews>
  <sheetFormatPr defaultRowHeight="15" x14ac:dyDescent="0.25"/>
  <cols>
    <col min="1" max="1" width="64.85546875" customWidth="1"/>
    <col min="2" max="2" width="23.28515625" customWidth="1"/>
    <col min="3" max="4" width="11.5703125" bestFit="1" customWidth="1"/>
    <col min="5" max="5" width="14.85546875" customWidth="1"/>
    <col min="6" max="6" width="12.5703125" customWidth="1"/>
    <col min="7" max="7" width="11.7109375" customWidth="1"/>
    <col min="8" max="8" width="15.85546875" customWidth="1"/>
    <col min="9" max="9" width="14.42578125" customWidth="1"/>
    <col min="10" max="10" width="15" customWidth="1"/>
    <col min="11" max="12" width="12.85546875" customWidth="1"/>
    <col min="13" max="13" width="13.5703125" customWidth="1"/>
    <col min="14" max="14" width="14.140625" customWidth="1"/>
    <col min="15" max="15" width="13.5703125" customWidth="1"/>
    <col min="16" max="16" width="23.5703125" customWidth="1"/>
    <col min="17" max="17" width="20.5703125" bestFit="1" customWidth="1"/>
    <col min="18" max="18" width="27.28515625" customWidth="1"/>
    <col min="19" max="19" width="30" customWidth="1"/>
    <col min="20" max="20" width="17.85546875" customWidth="1"/>
  </cols>
  <sheetData>
    <row r="1" spans="1:22" ht="21" x14ac:dyDescent="0.35">
      <c r="B1" s="44" t="s">
        <v>192</v>
      </c>
      <c r="I1" s="46" t="s">
        <v>196</v>
      </c>
      <c r="J1" s="47"/>
      <c r="K1" s="47"/>
      <c r="L1" s="47"/>
      <c r="M1" s="47"/>
      <c r="N1" s="47"/>
      <c r="O1" s="47"/>
    </row>
    <row r="2" spans="1:22" x14ac:dyDescent="0.25">
      <c r="B2" s="42" t="s">
        <v>190</v>
      </c>
      <c r="C2" s="42"/>
      <c r="D2" s="42"/>
      <c r="E2" s="42"/>
      <c r="F2" s="42"/>
      <c r="G2" s="42"/>
      <c r="H2" s="42"/>
      <c r="I2" s="47" t="s">
        <v>197</v>
      </c>
      <c r="J2" s="47"/>
      <c r="K2" s="47"/>
      <c r="L2" s="47"/>
      <c r="M2" s="47"/>
      <c r="N2" s="47"/>
      <c r="O2" s="47"/>
      <c r="P2" s="7" t="s">
        <v>45</v>
      </c>
      <c r="Q2" s="8" t="s">
        <v>30</v>
      </c>
      <c r="R2" s="8" t="s">
        <v>31</v>
      </c>
      <c r="S2" s="8" t="s">
        <v>34</v>
      </c>
      <c r="T2" s="8" t="s">
        <v>35</v>
      </c>
      <c r="U2" s="8"/>
      <c r="V2" s="8"/>
    </row>
    <row r="3" spans="1:22" x14ac:dyDescent="0.25">
      <c r="B3" s="42" t="s">
        <v>193</v>
      </c>
      <c r="C3" s="42"/>
      <c r="D3" s="42"/>
      <c r="E3" s="42"/>
      <c r="F3" s="42"/>
      <c r="G3" s="42"/>
      <c r="H3" s="42"/>
      <c r="I3" s="47" t="s">
        <v>198</v>
      </c>
      <c r="J3" s="47"/>
      <c r="K3" s="47"/>
      <c r="L3" s="47"/>
      <c r="M3" s="47"/>
      <c r="N3" s="47"/>
      <c r="O3" s="47"/>
      <c r="P3" s="8"/>
      <c r="Q3" s="7" t="s">
        <v>46</v>
      </c>
      <c r="R3" s="7" t="s">
        <v>47</v>
      </c>
      <c r="S3" s="7" t="s">
        <v>48</v>
      </c>
      <c r="T3" s="7" t="s">
        <v>49</v>
      </c>
      <c r="U3" s="8"/>
      <c r="V3" s="8"/>
    </row>
    <row r="4" spans="1:22" ht="18.75" x14ac:dyDescent="0.3">
      <c r="I4" s="49" t="s">
        <v>205</v>
      </c>
      <c r="J4" s="26"/>
      <c r="K4" s="26"/>
      <c r="L4" s="26"/>
      <c r="M4" s="26"/>
      <c r="N4" s="26"/>
      <c r="O4" s="26"/>
      <c r="P4" s="7" t="s">
        <v>104</v>
      </c>
      <c r="Q4" s="8">
        <v>15</v>
      </c>
      <c r="R4" s="8">
        <v>25</v>
      </c>
      <c r="S4" s="8">
        <v>50</v>
      </c>
      <c r="T4" s="8">
        <v>50</v>
      </c>
      <c r="U4" s="8"/>
      <c r="V4" s="8"/>
    </row>
    <row r="5" spans="1:22" ht="18.75" x14ac:dyDescent="0.3">
      <c r="F5" s="22" t="s">
        <v>67</v>
      </c>
      <c r="I5" s="26" t="s">
        <v>206</v>
      </c>
      <c r="J5" s="26"/>
      <c r="K5" s="26"/>
      <c r="L5" s="26"/>
      <c r="M5" s="26"/>
      <c r="N5" s="26"/>
      <c r="O5" s="26"/>
      <c r="P5" s="1" t="s">
        <v>105</v>
      </c>
      <c r="Q5" s="5">
        <f>assumption!C32</f>
        <v>158.08000000000004</v>
      </c>
      <c r="R5" s="5">
        <f>assumption!C33</f>
        <v>237.12</v>
      </c>
      <c r="S5">
        <f>assumption!C36</f>
        <v>294</v>
      </c>
      <c r="T5">
        <f>assumption!C37</f>
        <v>294</v>
      </c>
    </row>
    <row r="6" spans="1:22" x14ac:dyDescent="0.25">
      <c r="F6" t="s">
        <v>76</v>
      </c>
      <c r="P6" t="s">
        <v>106</v>
      </c>
    </row>
    <row r="7" spans="1:22" x14ac:dyDescent="0.25">
      <c r="B7" s="28" t="s">
        <v>61</v>
      </c>
      <c r="C7" s="43" t="s">
        <v>154</v>
      </c>
      <c r="D7" s="1" t="s">
        <v>62</v>
      </c>
      <c r="E7" s="28" t="s">
        <v>93</v>
      </c>
      <c r="F7" s="28" t="s">
        <v>94</v>
      </c>
      <c r="G7" s="28" t="s">
        <v>95</v>
      </c>
      <c r="H7" s="27" t="s">
        <v>96</v>
      </c>
      <c r="I7" s="27" t="s">
        <v>97</v>
      </c>
      <c r="J7" s="1" t="s">
        <v>98</v>
      </c>
      <c r="K7" s="1" t="s">
        <v>99</v>
      </c>
      <c r="L7" s="1" t="s">
        <v>100</v>
      </c>
      <c r="M7" s="45" t="s">
        <v>101</v>
      </c>
      <c r="N7" s="1" t="s">
        <v>118</v>
      </c>
      <c r="R7" s="1"/>
    </row>
    <row r="8" spans="1:22" x14ac:dyDescent="0.25">
      <c r="A8" t="s">
        <v>68</v>
      </c>
      <c r="B8" s="12">
        <f>S5</f>
        <v>294</v>
      </c>
      <c r="C8" s="5">
        <f>S5*1.4</f>
        <v>411.59999999999997</v>
      </c>
      <c r="D8" s="5">
        <f>B8</f>
        <v>294</v>
      </c>
      <c r="E8" s="35">
        <f>294</f>
        <v>294</v>
      </c>
      <c r="F8" s="35">
        <f t="shared" ref="F8:G8" si="0">D8</f>
        <v>294</v>
      </c>
      <c r="G8" s="5">
        <f t="shared" si="0"/>
        <v>294</v>
      </c>
      <c r="H8" s="35">
        <f>F8*1.4</f>
        <v>411.59999999999997</v>
      </c>
      <c r="I8" s="35">
        <f>G8*1.4</f>
        <v>411.59999999999997</v>
      </c>
      <c r="J8" s="5">
        <v>294</v>
      </c>
      <c r="K8" s="5">
        <v>294</v>
      </c>
      <c r="L8" s="5">
        <v>294</v>
      </c>
      <c r="M8" s="5">
        <v>294</v>
      </c>
    </row>
    <row r="9" spans="1:22" x14ac:dyDescent="0.25">
      <c r="A9" t="s">
        <v>69</v>
      </c>
      <c r="B9" s="5">
        <f>T5</f>
        <v>294</v>
      </c>
      <c r="C9" s="5">
        <f>T5</f>
        <v>294</v>
      </c>
      <c r="D9" s="5">
        <f>C9</f>
        <v>294</v>
      </c>
      <c r="E9" s="35">
        <f t="shared" ref="E9:L9" si="1">D9</f>
        <v>294</v>
      </c>
      <c r="F9" s="35">
        <f t="shared" si="1"/>
        <v>294</v>
      </c>
      <c r="G9" s="5">
        <f t="shared" si="1"/>
        <v>294</v>
      </c>
      <c r="H9" s="35">
        <f>G9*1.4</f>
        <v>411.59999999999997</v>
      </c>
      <c r="I9" s="35">
        <f t="shared" si="1"/>
        <v>411.59999999999997</v>
      </c>
      <c r="J9" s="5">
        <v>294</v>
      </c>
      <c r="K9" s="5">
        <f t="shared" si="1"/>
        <v>294</v>
      </c>
      <c r="L9" s="5">
        <f t="shared" si="1"/>
        <v>294</v>
      </c>
      <c r="M9" s="5">
        <f>L9*1.1</f>
        <v>323.40000000000003</v>
      </c>
    </row>
    <row r="10" spans="1:22" x14ac:dyDescent="0.25">
      <c r="A10" t="s">
        <v>70</v>
      </c>
      <c r="B10" s="11">
        <f>S4</f>
        <v>50</v>
      </c>
      <c r="C10" s="11">
        <f>B10*0.9</f>
        <v>45</v>
      </c>
      <c r="D10" s="8">
        <f t="shared" ref="D10:D11" si="2">B10</f>
        <v>50</v>
      </c>
      <c r="E10" s="36">
        <v>50</v>
      </c>
      <c r="F10" s="36">
        <v>50</v>
      </c>
      <c r="G10" s="8">
        <v>50</v>
      </c>
      <c r="H10" s="36">
        <f>50*0.93</f>
        <v>46.5</v>
      </c>
      <c r="I10" s="36">
        <f>50*0.93</f>
        <v>46.5</v>
      </c>
      <c r="J10" s="8">
        <v>50</v>
      </c>
      <c r="K10" s="8">
        <v>50</v>
      </c>
      <c r="L10" s="8">
        <v>50</v>
      </c>
      <c r="M10" s="8">
        <f t="shared" ref="M10" si="3">K10</f>
        <v>50</v>
      </c>
    </row>
    <row r="11" spans="1:22" ht="15.75" thickBot="1" x14ac:dyDescent="0.3">
      <c r="A11" t="s">
        <v>71</v>
      </c>
      <c r="B11" s="16">
        <f>T4</f>
        <v>50</v>
      </c>
      <c r="C11" s="16">
        <f>B11</f>
        <v>50</v>
      </c>
      <c r="D11" s="17">
        <f t="shared" si="2"/>
        <v>50</v>
      </c>
      <c r="E11" s="37">
        <f t="shared" ref="E11" si="4">C11</f>
        <v>50</v>
      </c>
      <c r="F11" s="37">
        <f t="shared" ref="F11" si="5">D11</f>
        <v>50</v>
      </c>
      <c r="G11" s="17">
        <f t="shared" ref="G11" si="6">E11</f>
        <v>50</v>
      </c>
      <c r="H11" s="29">
        <f>25*0.93</f>
        <v>23.25</v>
      </c>
      <c r="I11" s="29">
        <f>25*0.93</f>
        <v>23.25</v>
      </c>
      <c r="J11" s="11">
        <f>B11</f>
        <v>50</v>
      </c>
      <c r="K11" s="11">
        <f t="shared" ref="K11:L11" si="7">C11</f>
        <v>50</v>
      </c>
      <c r="L11" s="11">
        <f t="shared" si="7"/>
        <v>50</v>
      </c>
      <c r="M11" s="11">
        <f>E11*0.9</f>
        <v>45</v>
      </c>
      <c r="N11" s="11"/>
      <c r="P11" s="26" t="s">
        <v>115</v>
      </c>
      <c r="Q11" s="26"/>
      <c r="R11" s="26"/>
      <c r="S11" s="26"/>
      <c r="T11" s="26"/>
    </row>
    <row r="12" spans="1:22" ht="15.75" thickTop="1" x14ac:dyDescent="0.25">
      <c r="A12" t="s">
        <v>75</v>
      </c>
      <c r="B12" s="15">
        <f>B8*B10+B9*B11</f>
        <v>29400</v>
      </c>
      <c r="C12" s="15">
        <f t="shared" ref="C12:M12" si="8">C8*C10+C9*C11</f>
        <v>33222</v>
      </c>
      <c r="D12" s="15">
        <f t="shared" si="8"/>
        <v>29400</v>
      </c>
      <c r="E12" s="29">
        <f t="shared" si="8"/>
        <v>29400</v>
      </c>
      <c r="F12" s="29">
        <f t="shared" si="8"/>
        <v>29400</v>
      </c>
      <c r="G12" s="15">
        <f t="shared" si="8"/>
        <v>29400</v>
      </c>
      <c r="H12" s="29">
        <f t="shared" si="8"/>
        <v>28709.1</v>
      </c>
      <c r="I12" s="29">
        <f t="shared" si="8"/>
        <v>28709.1</v>
      </c>
      <c r="J12" s="15">
        <f t="shared" si="8"/>
        <v>29400</v>
      </c>
      <c r="K12" s="15">
        <f t="shared" si="8"/>
        <v>29400</v>
      </c>
      <c r="L12" s="15">
        <f t="shared" si="8"/>
        <v>29400</v>
      </c>
      <c r="M12" s="15">
        <f t="shared" si="8"/>
        <v>29253</v>
      </c>
      <c r="N12" s="11">
        <f>SUM(B12:M12)</f>
        <v>355093.2</v>
      </c>
      <c r="P12" s="24" t="s">
        <v>41</v>
      </c>
      <c r="Q12" s="24"/>
      <c r="R12" s="24"/>
      <c r="S12" s="24"/>
      <c r="T12" s="24"/>
    </row>
    <row r="13" spans="1:22" x14ac:dyDescent="0.25">
      <c r="B13" s="6" t="s">
        <v>202</v>
      </c>
      <c r="C13" s="6"/>
      <c r="D13" s="6"/>
      <c r="E13" s="2" t="s">
        <v>203</v>
      </c>
      <c r="F13" s="23"/>
      <c r="G13" s="23"/>
      <c r="P13" s="19" t="s">
        <v>40</v>
      </c>
      <c r="Q13" s="19"/>
      <c r="R13" s="19"/>
      <c r="S13" s="19"/>
      <c r="T13" s="19"/>
    </row>
    <row r="14" spans="1:22" x14ac:dyDescent="0.25">
      <c r="B14" s="47" t="s">
        <v>113</v>
      </c>
      <c r="C14" s="47"/>
      <c r="D14" s="6"/>
      <c r="E14" s="2" t="s">
        <v>204</v>
      </c>
      <c r="F14" s="23"/>
      <c r="G14" s="23"/>
      <c r="P14" s="42" t="s">
        <v>194</v>
      </c>
      <c r="Q14" s="42"/>
      <c r="R14" s="42"/>
      <c r="S14" s="42"/>
    </row>
    <row r="15" spans="1:22" x14ac:dyDescent="0.25">
      <c r="P15" s="47" t="s">
        <v>195</v>
      </c>
      <c r="Q15" s="48"/>
      <c r="R15" s="48"/>
      <c r="S15" s="48"/>
    </row>
    <row r="16" spans="1:22" x14ac:dyDescent="0.25">
      <c r="F16" s="1" t="s">
        <v>199</v>
      </c>
    </row>
    <row r="17" spans="1:18" x14ac:dyDescent="0.25">
      <c r="B17" s="28" t="s">
        <v>61</v>
      </c>
      <c r="C17" s="43" t="s">
        <v>154</v>
      </c>
      <c r="D17" s="1" t="s">
        <v>62</v>
      </c>
      <c r="E17" s="28" t="s">
        <v>93</v>
      </c>
      <c r="F17" s="28" t="s">
        <v>94</v>
      </c>
      <c r="G17" s="28" t="s">
        <v>95</v>
      </c>
      <c r="H17" s="27" t="s">
        <v>96</v>
      </c>
      <c r="I17" s="27" t="s">
        <v>97</v>
      </c>
      <c r="J17" s="1" t="s">
        <v>98</v>
      </c>
      <c r="K17" s="1" t="s">
        <v>99</v>
      </c>
      <c r="L17" s="1" t="s">
        <v>100</v>
      </c>
      <c r="M17" s="45" t="s">
        <v>101</v>
      </c>
      <c r="N17" s="1" t="s">
        <v>118</v>
      </c>
      <c r="R17" s="1"/>
    </row>
    <row r="18" spans="1:18" x14ac:dyDescent="0.25">
      <c r="A18" t="s">
        <v>120</v>
      </c>
      <c r="B18" s="11">
        <f>B12</f>
        <v>29400</v>
      </c>
      <c r="C18" s="11">
        <f t="shared" ref="C18:N18" si="9">C12</f>
        <v>33222</v>
      </c>
      <c r="D18" s="11">
        <f t="shared" si="9"/>
        <v>29400</v>
      </c>
      <c r="E18" s="11">
        <f t="shared" si="9"/>
        <v>29400</v>
      </c>
      <c r="F18" s="11">
        <f t="shared" si="9"/>
        <v>29400</v>
      </c>
      <c r="G18" s="11">
        <f t="shared" si="9"/>
        <v>29400</v>
      </c>
      <c r="H18" s="11">
        <f t="shared" si="9"/>
        <v>28709.1</v>
      </c>
      <c r="I18" s="11">
        <f t="shared" si="9"/>
        <v>28709.1</v>
      </c>
      <c r="J18" s="11">
        <f t="shared" si="9"/>
        <v>29400</v>
      </c>
      <c r="K18" s="11">
        <f t="shared" si="9"/>
        <v>29400</v>
      </c>
      <c r="L18" s="11">
        <f t="shared" si="9"/>
        <v>29400</v>
      </c>
      <c r="M18" s="11">
        <f t="shared" si="9"/>
        <v>29253</v>
      </c>
      <c r="N18" s="11">
        <f t="shared" si="9"/>
        <v>355093.2</v>
      </c>
    </row>
    <row r="19" spans="1:18" x14ac:dyDescent="0.25">
      <c r="A19" t="s">
        <v>121</v>
      </c>
      <c r="B19" s="11">
        <f>B18</f>
        <v>29400</v>
      </c>
      <c r="C19" s="11">
        <f t="shared" ref="C19:N19" si="10">C18</f>
        <v>33222</v>
      </c>
      <c r="D19" s="11">
        <f t="shared" si="10"/>
        <v>29400</v>
      </c>
      <c r="E19" s="11">
        <f t="shared" si="10"/>
        <v>29400</v>
      </c>
      <c r="F19" s="11">
        <f t="shared" si="10"/>
        <v>29400</v>
      </c>
      <c r="G19" s="11">
        <f t="shared" si="10"/>
        <v>29400</v>
      </c>
      <c r="H19" s="11">
        <f t="shared" si="10"/>
        <v>28709.1</v>
      </c>
      <c r="I19" s="11">
        <f t="shared" si="10"/>
        <v>28709.1</v>
      </c>
      <c r="J19" s="11">
        <f t="shared" si="10"/>
        <v>29400</v>
      </c>
      <c r="K19" s="11">
        <f t="shared" si="10"/>
        <v>29400</v>
      </c>
      <c r="L19" s="11">
        <f t="shared" si="10"/>
        <v>29400</v>
      </c>
      <c r="M19" s="11">
        <f t="shared" si="10"/>
        <v>29253</v>
      </c>
      <c r="N19" s="11">
        <f t="shared" si="10"/>
        <v>355093.2</v>
      </c>
    </row>
    <row r="21" spans="1:18" x14ac:dyDescent="0.25">
      <c r="R21" s="1"/>
    </row>
    <row r="23" spans="1:18" x14ac:dyDescent="0.25">
      <c r="B23" s="1" t="s">
        <v>200</v>
      </c>
    </row>
    <row r="24" spans="1:18" x14ac:dyDescent="0.25">
      <c r="B24" s="28" t="s">
        <v>61</v>
      </c>
      <c r="C24" s="43" t="s">
        <v>154</v>
      </c>
      <c r="D24" s="1" t="s">
        <v>62</v>
      </c>
      <c r="E24" s="28" t="s">
        <v>93</v>
      </c>
      <c r="F24" s="28" t="s">
        <v>94</v>
      </c>
      <c r="G24" s="28" t="s">
        <v>95</v>
      </c>
      <c r="H24" s="27" t="s">
        <v>96</v>
      </c>
      <c r="I24" s="27" t="s">
        <v>97</v>
      </c>
      <c r="J24" s="1" t="s">
        <v>98</v>
      </c>
      <c r="K24" s="1" t="s">
        <v>99</v>
      </c>
      <c r="L24" s="1" t="s">
        <v>100</v>
      </c>
      <c r="M24" s="45" t="s">
        <v>101</v>
      </c>
      <c r="N24" s="1" t="s">
        <v>118</v>
      </c>
      <c r="R24" s="1"/>
    </row>
    <row r="25" spans="1:18" x14ac:dyDescent="0.25">
      <c r="A25" t="s">
        <v>77</v>
      </c>
      <c r="B25" s="12">
        <f>B8</f>
        <v>294</v>
      </c>
      <c r="C25" s="12">
        <f>C8</f>
        <v>411.59999999999997</v>
      </c>
      <c r="D25" s="12">
        <f>D8</f>
        <v>294</v>
      </c>
      <c r="E25" s="12">
        <f>E8</f>
        <v>294</v>
      </c>
      <c r="F25" s="12">
        <f>F8</f>
        <v>294</v>
      </c>
      <c r="G25" s="12">
        <f>G8</f>
        <v>294</v>
      </c>
      <c r="H25" s="12">
        <f>H8</f>
        <v>411.59999999999997</v>
      </c>
      <c r="I25" s="12">
        <f>I8</f>
        <v>411.59999999999997</v>
      </c>
      <c r="J25" s="12">
        <f>J8</f>
        <v>294</v>
      </c>
      <c r="K25" s="12">
        <f>K8</f>
        <v>294</v>
      </c>
      <c r="L25" s="12">
        <f>L8</f>
        <v>294</v>
      </c>
      <c r="M25" s="12">
        <f>M8</f>
        <v>294</v>
      </c>
      <c r="N25" s="5">
        <f>SUM(B25:M25)</f>
        <v>3880.7999999999997</v>
      </c>
    </row>
    <row r="26" spans="1:18" x14ac:dyDescent="0.25">
      <c r="A26" t="s">
        <v>78</v>
      </c>
      <c r="B26" s="12">
        <f>C25*0.2</f>
        <v>82.32</v>
      </c>
      <c r="C26" s="12">
        <f>D25*0.1</f>
        <v>29.400000000000002</v>
      </c>
      <c r="D26" s="12">
        <f>E25*0.1</f>
        <v>29.400000000000002</v>
      </c>
      <c r="E26" s="12">
        <f t="shared" ref="E26:L26" si="11">F25*0.1</f>
        <v>29.400000000000002</v>
      </c>
      <c r="F26" s="12">
        <f t="shared" si="11"/>
        <v>29.400000000000002</v>
      </c>
      <c r="G26" s="12">
        <f t="shared" si="11"/>
        <v>41.16</v>
      </c>
      <c r="H26" s="12">
        <f t="shared" si="11"/>
        <v>41.16</v>
      </c>
      <c r="I26" s="12">
        <f t="shared" si="11"/>
        <v>29.400000000000002</v>
      </c>
      <c r="J26" s="12">
        <f>K25*0.1</f>
        <v>29.400000000000002</v>
      </c>
      <c r="K26" s="12">
        <f t="shared" si="11"/>
        <v>29.400000000000002</v>
      </c>
      <c r="L26" s="12">
        <f t="shared" si="11"/>
        <v>29.400000000000002</v>
      </c>
      <c r="M26" s="5">
        <f>L26</f>
        <v>29.400000000000002</v>
      </c>
      <c r="N26" s="12">
        <f>29</f>
        <v>29</v>
      </c>
    </row>
    <row r="27" spans="1:18" x14ac:dyDescent="0.25">
      <c r="A27" t="s">
        <v>79</v>
      </c>
      <c r="B27" s="12">
        <f>SUM(B25:B26)</f>
        <v>376.32</v>
      </c>
      <c r="C27" s="12">
        <f t="shared" ref="C27:D27" si="12">SUM(C25:C26)</f>
        <v>440.99999999999994</v>
      </c>
      <c r="D27" s="12">
        <f t="shared" si="12"/>
        <v>323.39999999999998</v>
      </c>
      <c r="E27" s="12">
        <f t="shared" ref="E27" si="13">SUM(E25:E26)</f>
        <v>323.39999999999998</v>
      </c>
      <c r="F27" s="12">
        <f t="shared" ref="F27" si="14">SUM(F25:F26)</f>
        <v>323.39999999999998</v>
      </c>
      <c r="G27" s="12">
        <f t="shared" ref="G27" si="15">SUM(G25:G26)</f>
        <v>335.15999999999997</v>
      </c>
      <c r="H27" s="12">
        <f t="shared" ref="H27" si="16">SUM(H25:H26)</f>
        <v>452.76</v>
      </c>
      <c r="I27" s="12">
        <f t="shared" ref="I27" si="17">SUM(I25:I26)</f>
        <v>440.99999999999994</v>
      </c>
      <c r="J27" s="12">
        <f t="shared" ref="J27" si="18">SUM(J25:J26)</f>
        <v>323.39999999999998</v>
      </c>
      <c r="K27" s="12">
        <f t="shared" ref="K27" si="19">SUM(K25:K26)</f>
        <v>323.39999999999998</v>
      </c>
      <c r="L27" s="12">
        <f t="shared" ref="L27" si="20">SUM(L25:L26)</f>
        <v>323.39999999999998</v>
      </c>
      <c r="M27" s="12">
        <f t="shared" ref="M27" si="21">SUM(M25:M26)</f>
        <v>323.39999999999998</v>
      </c>
      <c r="N27" s="5">
        <f>SUM(B27:M27)</f>
        <v>4310.04</v>
      </c>
    </row>
    <row r="28" spans="1:18" x14ac:dyDescent="0.25">
      <c r="A28" t="s">
        <v>80</v>
      </c>
      <c r="B28" s="13">
        <v>0</v>
      </c>
      <c r="C28" s="12">
        <f>B26</f>
        <v>82.32</v>
      </c>
      <c r="D28" s="12">
        <f>C26</f>
        <v>29.400000000000002</v>
      </c>
      <c r="E28" s="12">
        <f t="shared" ref="E28:M28" si="22">D26</f>
        <v>29.400000000000002</v>
      </c>
      <c r="F28" s="12">
        <f t="shared" si="22"/>
        <v>29.400000000000002</v>
      </c>
      <c r="G28" s="12">
        <f t="shared" si="22"/>
        <v>29.400000000000002</v>
      </c>
      <c r="H28" s="12">
        <f t="shared" si="22"/>
        <v>41.16</v>
      </c>
      <c r="I28" s="12">
        <f t="shared" si="22"/>
        <v>41.16</v>
      </c>
      <c r="J28" s="12">
        <f t="shared" si="22"/>
        <v>29.400000000000002</v>
      </c>
      <c r="K28" s="12">
        <f t="shared" si="22"/>
        <v>29.400000000000002</v>
      </c>
      <c r="L28" s="12">
        <f t="shared" si="22"/>
        <v>29.400000000000002</v>
      </c>
      <c r="M28" s="12">
        <f t="shared" si="22"/>
        <v>29.400000000000002</v>
      </c>
      <c r="N28">
        <v>0</v>
      </c>
    </row>
    <row r="29" spans="1:18" x14ac:dyDescent="0.25">
      <c r="A29" t="s">
        <v>81</v>
      </c>
      <c r="B29" s="12">
        <f>B27-B28</f>
        <v>376.32</v>
      </c>
      <c r="C29" s="12">
        <f t="shared" ref="C29:D29" si="23">C27-C28</f>
        <v>358.67999999999995</v>
      </c>
      <c r="D29" s="12">
        <f t="shared" si="23"/>
        <v>294</v>
      </c>
      <c r="E29" s="12">
        <f t="shared" ref="E29" si="24">E27-E28</f>
        <v>294</v>
      </c>
      <c r="F29" s="12">
        <f t="shared" ref="F29" si="25">F27-F28</f>
        <v>294</v>
      </c>
      <c r="G29" s="12">
        <f t="shared" ref="G29" si="26">G27-G28</f>
        <v>305.76</v>
      </c>
      <c r="H29" s="12">
        <f t="shared" ref="H29" si="27">H27-H28</f>
        <v>411.6</v>
      </c>
      <c r="I29" s="12">
        <f t="shared" ref="I29" si="28">I27-I28</f>
        <v>399.83999999999992</v>
      </c>
      <c r="J29" s="12">
        <f t="shared" ref="J29" si="29">J27-J28</f>
        <v>294</v>
      </c>
      <c r="K29" s="12">
        <f t="shared" ref="K29" si="30">K27-K28</f>
        <v>294</v>
      </c>
      <c r="L29" s="12">
        <f t="shared" ref="L29" si="31">L27-L28</f>
        <v>294</v>
      </c>
      <c r="M29" s="12">
        <f t="shared" ref="M29" si="32">M27-M28</f>
        <v>294</v>
      </c>
      <c r="N29" s="5">
        <f>SUM(B29:M29)</f>
        <v>3910.2</v>
      </c>
    </row>
    <row r="30" spans="1:18" x14ac:dyDescent="0.25">
      <c r="B30" t="s">
        <v>208</v>
      </c>
    </row>
    <row r="31" spans="1:18" x14ac:dyDescent="0.25">
      <c r="B31" t="s">
        <v>209</v>
      </c>
      <c r="R31" s="1"/>
    </row>
    <row r="33" spans="1:18" x14ac:dyDescent="0.25">
      <c r="B33" s="1" t="s">
        <v>201</v>
      </c>
    </row>
    <row r="34" spans="1:18" x14ac:dyDescent="0.25">
      <c r="B34" s="28" t="s">
        <v>61</v>
      </c>
      <c r="C34" s="43" t="s">
        <v>154</v>
      </c>
      <c r="D34" s="1" t="s">
        <v>62</v>
      </c>
      <c r="E34" s="28" t="s">
        <v>93</v>
      </c>
      <c r="F34" s="28" t="s">
        <v>94</v>
      </c>
      <c r="G34" s="28" t="s">
        <v>95</v>
      </c>
      <c r="H34" s="27" t="s">
        <v>96</v>
      </c>
      <c r="I34" s="27" t="s">
        <v>97</v>
      </c>
      <c r="J34" s="1" t="s">
        <v>98</v>
      </c>
      <c r="K34" s="1" t="s">
        <v>99</v>
      </c>
      <c r="L34" s="1" t="s">
        <v>100</v>
      </c>
      <c r="M34" s="45" t="s">
        <v>101</v>
      </c>
      <c r="N34" s="1" t="s">
        <v>118</v>
      </c>
      <c r="R34" s="1"/>
    </row>
    <row r="35" spans="1:18" x14ac:dyDescent="0.25">
      <c r="A35" t="s">
        <v>77</v>
      </c>
      <c r="B35" s="5">
        <f>B9</f>
        <v>294</v>
      </c>
      <c r="C35" s="5">
        <f t="shared" ref="C35:M35" si="33">C9</f>
        <v>294</v>
      </c>
      <c r="D35" s="5">
        <f t="shared" si="33"/>
        <v>294</v>
      </c>
      <c r="E35" s="5">
        <f t="shared" si="33"/>
        <v>294</v>
      </c>
      <c r="F35" s="5">
        <f t="shared" si="33"/>
        <v>294</v>
      </c>
      <c r="G35" s="5">
        <f t="shared" si="33"/>
        <v>294</v>
      </c>
      <c r="H35" s="5">
        <f t="shared" si="33"/>
        <v>411.59999999999997</v>
      </c>
      <c r="I35" s="5">
        <f t="shared" si="33"/>
        <v>411.59999999999997</v>
      </c>
      <c r="J35" s="5">
        <f t="shared" si="33"/>
        <v>294</v>
      </c>
      <c r="K35" s="5">
        <f t="shared" si="33"/>
        <v>294</v>
      </c>
      <c r="L35" s="5">
        <f t="shared" si="33"/>
        <v>294</v>
      </c>
      <c r="M35" s="5">
        <f t="shared" si="33"/>
        <v>323.40000000000003</v>
      </c>
      <c r="N35" s="5"/>
    </row>
    <row r="36" spans="1:18" x14ac:dyDescent="0.25">
      <c r="A36" t="s">
        <v>78</v>
      </c>
      <c r="B36" s="5">
        <f>C35*0.08</f>
        <v>23.52</v>
      </c>
      <c r="C36" s="5">
        <f t="shared" ref="C36:L36" si="34">D35*0.08</f>
        <v>23.52</v>
      </c>
      <c r="D36" s="5">
        <f t="shared" si="34"/>
        <v>23.52</v>
      </c>
      <c r="E36" s="5">
        <f t="shared" si="34"/>
        <v>23.52</v>
      </c>
      <c r="F36" s="5">
        <f t="shared" si="34"/>
        <v>23.52</v>
      </c>
      <c r="G36" s="5">
        <f t="shared" si="34"/>
        <v>32.927999999999997</v>
      </c>
      <c r="H36" s="5">
        <f t="shared" si="34"/>
        <v>32.927999999999997</v>
      </c>
      <c r="I36" s="5">
        <f t="shared" si="34"/>
        <v>23.52</v>
      </c>
      <c r="J36" s="5">
        <f t="shared" si="34"/>
        <v>23.52</v>
      </c>
      <c r="K36" s="5">
        <f t="shared" si="34"/>
        <v>23.52</v>
      </c>
      <c r="L36" s="5">
        <f t="shared" si="34"/>
        <v>25.872000000000003</v>
      </c>
      <c r="M36" s="5">
        <v>24</v>
      </c>
    </row>
    <row r="37" spans="1:18" x14ac:dyDescent="0.25">
      <c r="A37" t="s">
        <v>79</v>
      </c>
      <c r="B37" s="5">
        <f>SUM(B35:B36)</f>
        <v>317.52</v>
      </c>
      <c r="C37" s="5">
        <f t="shared" ref="C37:M37" si="35">SUM(C35:C36)</f>
        <v>317.52</v>
      </c>
      <c r="D37" s="5">
        <f t="shared" si="35"/>
        <v>317.52</v>
      </c>
      <c r="E37" s="5">
        <f t="shared" si="35"/>
        <v>317.52</v>
      </c>
      <c r="F37" s="5">
        <f t="shared" si="35"/>
        <v>317.52</v>
      </c>
      <c r="G37" s="5">
        <f t="shared" si="35"/>
        <v>326.928</v>
      </c>
      <c r="H37" s="5">
        <f t="shared" si="35"/>
        <v>444.52799999999996</v>
      </c>
      <c r="I37" s="5">
        <f t="shared" si="35"/>
        <v>435.11999999999995</v>
      </c>
      <c r="J37" s="5">
        <f t="shared" si="35"/>
        <v>317.52</v>
      </c>
      <c r="K37" s="5">
        <f t="shared" si="35"/>
        <v>317.52</v>
      </c>
      <c r="L37" s="5">
        <f t="shared" si="35"/>
        <v>319.87200000000001</v>
      </c>
      <c r="M37" s="5">
        <f t="shared" si="35"/>
        <v>347.40000000000003</v>
      </c>
    </row>
    <row r="38" spans="1:18" x14ac:dyDescent="0.25">
      <c r="A38" t="s">
        <v>80</v>
      </c>
      <c r="B38" s="14">
        <f>0</f>
        <v>0</v>
      </c>
      <c r="C38" s="5">
        <f>B36</f>
        <v>23.52</v>
      </c>
      <c r="D38" s="5">
        <f t="shared" ref="D38:M38" si="36">C36</f>
        <v>23.52</v>
      </c>
      <c r="E38" s="5">
        <f t="shared" si="36"/>
        <v>23.52</v>
      </c>
      <c r="F38" s="5">
        <f t="shared" si="36"/>
        <v>23.52</v>
      </c>
      <c r="G38" s="5">
        <f t="shared" si="36"/>
        <v>23.52</v>
      </c>
      <c r="H38" s="5">
        <f t="shared" si="36"/>
        <v>32.927999999999997</v>
      </c>
      <c r="I38" s="5">
        <f t="shared" si="36"/>
        <v>32.927999999999997</v>
      </c>
      <c r="J38" s="5">
        <f t="shared" si="36"/>
        <v>23.52</v>
      </c>
      <c r="K38" s="5">
        <f t="shared" si="36"/>
        <v>23.52</v>
      </c>
      <c r="L38" s="5">
        <f t="shared" si="36"/>
        <v>23.52</v>
      </c>
      <c r="M38" s="5">
        <f t="shared" si="36"/>
        <v>25.872000000000003</v>
      </c>
    </row>
    <row r="39" spans="1:18" x14ac:dyDescent="0.25">
      <c r="A39" t="s">
        <v>81</v>
      </c>
      <c r="B39" s="5">
        <f>B37-B38</f>
        <v>317.52</v>
      </c>
      <c r="C39" s="5">
        <f t="shared" ref="C39:M39" si="37">C37-C38</f>
        <v>294</v>
      </c>
      <c r="D39" s="5">
        <f t="shared" si="37"/>
        <v>294</v>
      </c>
      <c r="E39" s="5">
        <f t="shared" si="37"/>
        <v>294</v>
      </c>
      <c r="F39" s="5">
        <f t="shared" si="37"/>
        <v>294</v>
      </c>
      <c r="G39" s="5">
        <f t="shared" si="37"/>
        <v>303.40800000000002</v>
      </c>
      <c r="H39" s="5">
        <f t="shared" si="37"/>
        <v>411.59999999999997</v>
      </c>
      <c r="I39" s="5">
        <f t="shared" si="37"/>
        <v>402.19199999999995</v>
      </c>
      <c r="J39" s="5">
        <f t="shared" si="37"/>
        <v>294</v>
      </c>
      <c r="K39" s="5">
        <f t="shared" si="37"/>
        <v>294</v>
      </c>
      <c r="L39" s="5">
        <f t="shared" si="37"/>
        <v>296.35200000000003</v>
      </c>
      <c r="M39" s="5">
        <f t="shared" si="37"/>
        <v>321.52800000000002</v>
      </c>
    </row>
    <row r="40" spans="1:18" x14ac:dyDescent="0.25">
      <c r="A40" s="2" t="s">
        <v>107</v>
      </c>
    </row>
    <row r="41" spans="1:18" x14ac:dyDescent="0.25">
      <c r="A41" t="s">
        <v>207</v>
      </c>
    </row>
    <row r="45" spans="1:18" x14ac:dyDescent="0.25">
      <c r="B45" s="1" t="s">
        <v>214</v>
      </c>
    </row>
    <row r="46" spans="1:18" x14ac:dyDescent="0.25">
      <c r="B46" s="28" t="s">
        <v>61</v>
      </c>
      <c r="C46" s="1" t="s">
        <v>154</v>
      </c>
      <c r="D46" s="1" t="s">
        <v>62</v>
      </c>
      <c r="E46" s="25" t="s">
        <v>93</v>
      </c>
      <c r="F46" s="25" t="s">
        <v>94</v>
      </c>
      <c r="G46" s="28" t="s">
        <v>95</v>
      </c>
      <c r="H46" s="27" t="s">
        <v>96</v>
      </c>
      <c r="I46" s="27" t="s">
        <v>97</v>
      </c>
      <c r="J46" s="1" t="s">
        <v>98</v>
      </c>
      <c r="K46" s="1" t="s">
        <v>99</v>
      </c>
      <c r="L46" s="1" t="s">
        <v>100</v>
      </c>
      <c r="M46" s="1" t="s">
        <v>101</v>
      </c>
      <c r="N46" s="1" t="s">
        <v>118</v>
      </c>
    </row>
    <row r="47" spans="1:18" x14ac:dyDescent="0.25">
      <c r="A47" t="s">
        <v>82</v>
      </c>
      <c r="B47" s="5">
        <f>B29</f>
        <v>376.32</v>
      </c>
      <c r="C47" s="5">
        <f>C29</f>
        <v>358.67999999999995</v>
      </c>
      <c r="D47" s="5">
        <f>D29</f>
        <v>294</v>
      </c>
      <c r="E47" s="5">
        <f>E29</f>
        <v>294</v>
      </c>
      <c r="F47" s="5">
        <f>F29</f>
        <v>294</v>
      </c>
      <c r="G47" s="5">
        <f>G29</f>
        <v>305.76</v>
      </c>
      <c r="H47" s="5">
        <f>H29</f>
        <v>411.6</v>
      </c>
      <c r="I47" s="5">
        <f>I29</f>
        <v>399.83999999999992</v>
      </c>
      <c r="J47" s="5">
        <f>J29</f>
        <v>294</v>
      </c>
      <c r="K47" s="5">
        <f>K29</f>
        <v>294</v>
      </c>
      <c r="L47" s="5">
        <f>L29</f>
        <v>294</v>
      </c>
      <c r="M47" s="5">
        <f>M29</f>
        <v>294</v>
      </c>
    </row>
    <row r="48" spans="1:18" x14ac:dyDescent="0.25">
      <c r="A48" t="s">
        <v>211</v>
      </c>
      <c r="B48">
        <v>3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3</v>
      </c>
      <c r="M48">
        <v>3</v>
      </c>
    </row>
    <row r="49" spans="1:14" x14ac:dyDescent="0.25">
      <c r="A49" t="s">
        <v>212</v>
      </c>
      <c r="B49" s="5">
        <f>B47*B48</f>
        <v>1128.96</v>
      </c>
      <c r="C49" s="5">
        <f t="shared" ref="C49:M49" si="38">C47*C48</f>
        <v>1076.04</v>
      </c>
      <c r="D49" s="5">
        <f t="shared" si="38"/>
        <v>882</v>
      </c>
      <c r="E49" s="5">
        <f t="shared" si="38"/>
        <v>882</v>
      </c>
      <c r="F49" s="5">
        <f t="shared" si="38"/>
        <v>882</v>
      </c>
      <c r="G49" s="5">
        <f t="shared" si="38"/>
        <v>917.28</v>
      </c>
      <c r="H49" s="5">
        <f t="shared" si="38"/>
        <v>1234.8000000000002</v>
      </c>
      <c r="I49" s="5">
        <f t="shared" si="38"/>
        <v>1199.5199999999998</v>
      </c>
      <c r="J49" s="5">
        <f t="shared" si="38"/>
        <v>882</v>
      </c>
      <c r="K49" s="5">
        <f t="shared" si="38"/>
        <v>882</v>
      </c>
      <c r="L49" s="5">
        <f t="shared" si="38"/>
        <v>882</v>
      </c>
      <c r="M49" s="5">
        <f t="shared" si="38"/>
        <v>882</v>
      </c>
    </row>
    <row r="50" spans="1:14" x14ac:dyDescent="0.25">
      <c r="A50" t="s">
        <v>88</v>
      </c>
      <c r="B50" s="5">
        <f>C49*0.1</f>
        <v>107.604</v>
      </c>
      <c r="C50" s="5">
        <f t="shared" ref="C50:L50" si="39">D49*0.1</f>
        <v>88.2</v>
      </c>
      <c r="D50" s="5">
        <f t="shared" si="39"/>
        <v>88.2</v>
      </c>
      <c r="E50" s="5">
        <f t="shared" si="39"/>
        <v>88.2</v>
      </c>
      <c r="F50" s="5">
        <f t="shared" si="39"/>
        <v>91.728000000000009</v>
      </c>
      <c r="G50" s="5">
        <f t="shared" si="39"/>
        <v>123.48000000000002</v>
      </c>
      <c r="H50" s="5">
        <f t="shared" si="39"/>
        <v>119.95199999999998</v>
      </c>
      <c r="I50" s="5">
        <f t="shared" si="39"/>
        <v>88.2</v>
      </c>
      <c r="J50" s="5">
        <f t="shared" si="39"/>
        <v>88.2</v>
      </c>
      <c r="K50" s="5">
        <f t="shared" si="39"/>
        <v>88.2</v>
      </c>
      <c r="L50" s="5">
        <f t="shared" si="39"/>
        <v>88.2</v>
      </c>
      <c r="M50" s="5">
        <f>16</f>
        <v>16</v>
      </c>
    </row>
    <row r="51" spans="1:14" x14ac:dyDescent="0.25">
      <c r="A51" t="s">
        <v>89</v>
      </c>
      <c r="B51" s="5">
        <f>SUM(B49:B50)</f>
        <v>1236.5640000000001</v>
      </c>
      <c r="C51" s="5">
        <f t="shared" ref="C51:D51" si="40">SUM(C49:C50)</f>
        <v>1164.24</v>
      </c>
      <c r="D51" s="5">
        <f t="shared" si="40"/>
        <v>970.2</v>
      </c>
      <c r="E51" s="5">
        <f t="shared" ref="E51" si="41">SUM(E49:E50)</f>
        <v>970.2</v>
      </c>
      <c r="F51" s="5">
        <f t="shared" ref="F51" si="42">SUM(F49:F50)</f>
        <v>973.72800000000007</v>
      </c>
      <c r="G51" s="5">
        <f t="shared" ref="G51" si="43">SUM(G49:G50)</f>
        <v>1040.76</v>
      </c>
      <c r="H51" s="5">
        <f t="shared" ref="H51" si="44">SUM(H49:H50)</f>
        <v>1354.7520000000002</v>
      </c>
      <c r="I51" s="5">
        <f t="shared" ref="I51" si="45">SUM(I49:I50)</f>
        <v>1287.7199999999998</v>
      </c>
      <c r="J51" s="5">
        <f t="shared" ref="J51" si="46">SUM(J49:J50)</f>
        <v>970.2</v>
      </c>
      <c r="K51" s="5">
        <f t="shared" ref="K51" si="47">SUM(K49:K50)</f>
        <v>970.2</v>
      </c>
      <c r="L51" s="5">
        <f t="shared" ref="L51" si="48">SUM(L49:L50)</f>
        <v>970.2</v>
      </c>
      <c r="M51" s="5">
        <f t="shared" ref="M51" si="49">SUM(M49:M50)</f>
        <v>898</v>
      </c>
    </row>
    <row r="52" spans="1:14" x14ac:dyDescent="0.25">
      <c r="A52" t="s">
        <v>90</v>
      </c>
      <c r="B52">
        <f>0</f>
        <v>0</v>
      </c>
      <c r="C52" s="5">
        <f>B50</f>
        <v>107.604</v>
      </c>
      <c r="D52" s="5">
        <f>C50</f>
        <v>88.2</v>
      </c>
      <c r="E52" s="5">
        <f>D50</f>
        <v>88.2</v>
      </c>
      <c r="F52" s="5">
        <f t="shared" ref="F52:M52" si="50">E50</f>
        <v>88.2</v>
      </c>
      <c r="G52" s="5">
        <f t="shared" si="50"/>
        <v>91.728000000000009</v>
      </c>
      <c r="H52" s="5">
        <f t="shared" si="50"/>
        <v>123.48000000000002</v>
      </c>
      <c r="I52" s="5">
        <f t="shared" si="50"/>
        <v>119.95199999999998</v>
      </c>
      <c r="J52" s="5">
        <f t="shared" si="50"/>
        <v>88.2</v>
      </c>
      <c r="K52" s="5">
        <f t="shared" si="50"/>
        <v>88.2</v>
      </c>
      <c r="L52" s="5">
        <f t="shared" si="50"/>
        <v>88.2</v>
      </c>
      <c r="M52" s="5">
        <f t="shared" si="50"/>
        <v>88.2</v>
      </c>
    </row>
    <row r="53" spans="1:14" x14ac:dyDescent="0.25">
      <c r="A53" t="s">
        <v>213</v>
      </c>
      <c r="B53" s="5">
        <f>B51-B52</f>
        <v>1236.5640000000001</v>
      </c>
      <c r="C53" s="5">
        <f t="shared" ref="C53:L53" si="51">C51-C52</f>
        <v>1056.636</v>
      </c>
      <c r="D53" s="5">
        <f t="shared" si="51"/>
        <v>882</v>
      </c>
      <c r="E53" s="5">
        <f t="shared" si="51"/>
        <v>882</v>
      </c>
      <c r="F53" s="5">
        <f t="shared" si="51"/>
        <v>885.52800000000002</v>
      </c>
      <c r="G53" s="5">
        <f t="shared" si="51"/>
        <v>949.03199999999993</v>
      </c>
      <c r="H53" s="5">
        <f t="shared" si="51"/>
        <v>1231.2720000000002</v>
      </c>
      <c r="I53" s="5">
        <f t="shared" si="51"/>
        <v>1167.7679999999998</v>
      </c>
      <c r="J53" s="5">
        <f t="shared" si="51"/>
        <v>882</v>
      </c>
      <c r="K53" s="5">
        <f t="shared" si="51"/>
        <v>882</v>
      </c>
      <c r="L53" s="5">
        <f t="shared" si="51"/>
        <v>882</v>
      </c>
      <c r="M53" s="5">
        <f>M51-M52</f>
        <v>809.8</v>
      </c>
    </row>
    <row r="54" spans="1:14" x14ac:dyDescent="0.25">
      <c r="A54" t="s">
        <v>210</v>
      </c>
      <c r="B54" s="30">
        <f>B53*6</f>
        <v>7419.384</v>
      </c>
      <c r="C54" s="30">
        <f t="shared" ref="C54:M54" si="52">C53*6</f>
        <v>6339.8159999999998</v>
      </c>
      <c r="D54" s="30">
        <f t="shared" si="52"/>
        <v>5292</v>
      </c>
      <c r="E54" s="30">
        <f t="shared" si="52"/>
        <v>5292</v>
      </c>
      <c r="F54" s="30">
        <f t="shared" si="52"/>
        <v>5313.1679999999997</v>
      </c>
      <c r="G54" s="30">
        <f t="shared" si="52"/>
        <v>5694.1919999999991</v>
      </c>
      <c r="H54" s="30">
        <f t="shared" si="52"/>
        <v>7387.6320000000014</v>
      </c>
      <c r="I54" s="30">
        <f t="shared" si="52"/>
        <v>7006.6079999999984</v>
      </c>
      <c r="J54" s="30">
        <f t="shared" si="52"/>
        <v>5292</v>
      </c>
      <c r="K54" s="30">
        <f t="shared" si="52"/>
        <v>5292</v>
      </c>
      <c r="L54" s="30">
        <f t="shared" si="52"/>
        <v>5292</v>
      </c>
      <c r="M54" s="30">
        <f t="shared" si="52"/>
        <v>4858.7999999999993</v>
      </c>
      <c r="N54" s="11">
        <f>SUM(B54:M54)</f>
        <v>70479.599999999991</v>
      </c>
    </row>
    <row r="55" spans="1:14" x14ac:dyDescent="0.25">
      <c r="A55" s="1" t="s">
        <v>122</v>
      </c>
    </row>
    <row r="57" spans="1:14" ht="15.75" x14ac:dyDescent="0.25">
      <c r="B57" s="32" t="s">
        <v>215</v>
      </c>
      <c r="N57" s="30"/>
    </row>
    <row r="58" spans="1:14" x14ac:dyDescent="0.25">
      <c r="B58" s="28" t="s">
        <v>61</v>
      </c>
      <c r="C58" s="1" t="s">
        <v>154</v>
      </c>
      <c r="D58" s="1" t="s">
        <v>62</v>
      </c>
      <c r="E58" s="25" t="s">
        <v>93</v>
      </c>
      <c r="F58" s="25" t="s">
        <v>94</v>
      </c>
      <c r="G58" s="28" t="s">
        <v>95</v>
      </c>
      <c r="H58" s="27" t="s">
        <v>96</v>
      </c>
      <c r="I58" s="27" t="s">
        <v>97</v>
      </c>
      <c r="J58" s="1" t="s">
        <v>98</v>
      </c>
      <c r="K58" s="1" t="s">
        <v>99</v>
      </c>
      <c r="L58" s="1" t="s">
        <v>100</v>
      </c>
      <c r="M58" s="1" t="s">
        <v>101</v>
      </c>
      <c r="N58" s="1" t="s">
        <v>118</v>
      </c>
    </row>
    <row r="59" spans="1:14" x14ac:dyDescent="0.25">
      <c r="A59" t="s">
        <v>153</v>
      </c>
      <c r="B59" s="11">
        <f>B54*0.5</f>
        <v>3709.692</v>
      </c>
      <c r="C59" s="30">
        <f>B59</f>
        <v>3709.692</v>
      </c>
      <c r="D59" s="30"/>
      <c r="E59" s="30"/>
      <c r="F59" s="30"/>
      <c r="G59" s="30"/>
      <c r="H59" s="30"/>
      <c r="I59" s="30"/>
      <c r="J59" s="30"/>
      <c r="K59" s="30"/>
      <c r="L59" s="30"/>
      <c r="M59" s="38"/>
      <c r="N59" s="30">
        <f>SUM(B59:M59)</f>
        <v>7419.384</v>
      </c>
    </row>
    <row r="60" spans="1:14" x14ac:dyDescent="0.25">
      <c r="A60" t="s">
        <v>154</v>
      </c>
      <c r="B60" s="1"/>
      <c r="C60" s="11">
        <f>C54*0.5</f>
        <v>3169.9079999999999</v>
      </c>
      <c r="D60" s="11">
        <f>C60</f>
        <v>3169.9079999999999</v>
      </c>
      <c r="M60" s="39"/>
      <c r="N60" s="30">
        <f t="shared" ref="N60:N71" si="53">SUM(B60:M60)</f>
        <v>6339.8159999999998</v>
      </c>
    </row>
    <row r="61" spans="1:14" x14ac:dyDescent="0.25">
      <c r="A61" t="s">
        <v>155</v>
      </c>
      <c r="D61" s="11">
        <f>D54*0.5</f>
        <v>2646</v>
      </c>
      <c r="E61" s="11">
        <f>D61</f>
        <v>2646</v>
      </c>
      <c r="M61" s="39"/>
      <c r="N61" s="30">
        <f t="shared" si="53"/>
        <v>5292</v>
      </c>
    </row>
    <row r="62" spans="1:14" x14ac:dyDescent="0.25">
      <c r="A62" t="s">
        <v>93</v>
      </c>
      <c r="E62" s="11">
        <f>E54*0.5</f>
        <v>2646</v>
      </c>
      <c r="F62" s="11">
        <f>E62</f>
        <v>2646</v>
      </c>
      <c r="M62" s="39"/>
      <c r="N62" s="30">
        <f t="shared" si="53"/>
        <v>5292</v>
      </c>
    </row>
    <row r="63" spans="1:14" x14ac:dyDescent="0.25">
      <c r="A63" t="s">
        <v>94</v>
      </c>
      <c r="F63" s="11">
        <f>F54*0.5</f>
        <v>2656.5839999999998</v>
      </c>
      <c r="G63" s="11">
        <f>F63</f>
        <v>2656.5839999999998</v>
      </c>
      <c r="M63" s="39"/>
      <c r="N63" s="30">
        <f t="shared" si="53"/>
        <v>5313.1679999999997</v>
      </c>
    </row>
    <row r="64" spans="1:14" x14ac:dyDescent="0.25">
      <c r="A64" t="s">
        <v>95</v>
      </c>
      <c r="G64" s="11">
        <f>G54*0.5</f>
        <v>2847.0959999999995</v>
      </c>
      <c r="H64" s="11">
        <f>G64</f>
        <v>2847.0959999999995</v>
      </c>
      <c r="M64" s="39"/>
      <c r="N64" s="30">
        <f t="shared" si="53"/>
        <v>5694.1919999999991</v>
      </c>
    </row>
    <row r="65" spans="1:14" x14ac:dyDescent="0.25">
      <c r="A65" t="s">
        <v>156</v>
      </c>
      <c r="H65" s="11">
        <f>H54*0.5</f>
        <v>3693.8160000000007</v>
      </c>
      <c r="I65" s="11">
        <f>H65</f>
        <v>3693.8160000000007</v>
      </c>
      <c r="M65" s="39"/>
      <c r="N65" s="30">
        <f t="shared" si="53"/>
        <v>7387.6320000000014</v>
      </c>
    </row>
    <row r="66" spans="1:14" x14ac:dyDescent="0.25">
      <c r="A66" t="s">
        <v>97</v>
      </c>
      <c r="I66" s="11">
        <f>I54*0.5</f>
        <v>3503.3039999999992</v>
      </c>
      <c r="J66" s="11">
        <f>I66</f>
        <v>3503.3039999999992</v>
      </c>
      <c r="M66" s="39"/>
      <c r="N66" s="30">
        <f t="shared" si="53"/>
        <v>7006.6079999999984</v>
      </c>
    </row>
    <row r="67" spans="1:14" x14ac:dyDescent="0.25">
      <c r="A67" t="s">
        <v>98</v>
      </c>
      <c r="J67" s="11">
        <f>J54*0.5</f>
        <v>2646</v>
      </c>
      <c r="K67" s="11">
        <f>J67</f>
        <v>2646</v>
      </c>
      <c r="M67" s="39"/>
      <c r="N67" s="30">
        <f t="shared" si="53"/>
        <v>5292</v>
      </c>
    </row>
    <row r="68" spans="1:14" x14ac:dyDescent="0.25">
      <c r="A68" t="s">
        <v>99</v>
      </c>
      <c r="K68" s="11">
        <f>K54*0.5</f>
        <v>2646</v>
      </c>
      <c r="L68" s="11">
        <f>K68</f>
        <v>2646</v>
      </c>
      <c r="M68" s="39"/>
      <c r="N68" s="30">
        <f t="shared" si="53"/>
        <v>5292</v>
      </c>
    </row>
    <row r="69" spans="1:14" x14ac:dyDescent="0.25">
      <c r="A69" t="s">
        <v>100</v>
      </c>
      <c r="L69" s="11">
        <f>L54*0.5</f>
        <v>2646</v>
      </c>
      <c r="M69" s="40">
        <f>L69</f>
        <v>2646</v>
      </c>
      <c r="N69" s="30">
        <f t="shared" si="53"/>
        <v>5292</v>
      </c>
    </row>
    <row r="70" spans="1:14" ht="15.75" thickBot="1" x14ac:dyDescent="0.3">
      <c r="A70" s="31" t="s">
        <v>101</v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41">
        <f>M54*0.5</f>
        <v>2429.3999999999996</v>
      </c>
      <c r="N70" s="30">
        <f t="shared" si="53"/>
        <v>2429.3999999999996</v>
      </c>
    </row>
    <row r="71" spans="1:14" ht="15.75" thickTop="1" x14ac:dyDescent="0.25">
      <c r="A71" t="s">
        <v>157</v>
      </c>
      <c r="B71" s="11">
        <f>SUM(B59:B70)</f>
        <v>3709.692</v>
      </c>
      <c r="C71" s="11">
        <f t="shared" ref="C71" si="54">SUM(C59:C70)</f>
        <v>6879.6</v>
      </c>
      <c r="D71" s="11">
        <f t="shared" ref="D71" si="55">SUM(D59:D70)</f>
        <v>5815.9079999999994</v>
      </c>
      <c r="E71" s="11">
        <f t="shared" ref="E71" si="56">SUM(E59:E70)</f>
        <v>5292</v>
      </c>
      <c r="F71" s="11">
        <f t="shared" ref="F71" si="57">SUM(F59:F70)</f>
        <v>5302.5839999999998</v>
      </c>
      <c r="G71" s="11">
        <f t="shared" ref="G71" si="58">SUM(G59:G70)</f>
        <v>5503.6799999999994</v>
      </c>
      <c r="H71" s="11">
        <f t="shared" ref="H71" si="59">SUM(H59:H70)</f>
        <v>6540.9120000000003</v>
      </c>
      <c r="I71" s="11">
        <f t="shared" ref="I71" si="60">SUM(I59:I70)</f>
        <v>7197.12</v>
      </c>
      <c r="J71" s="11">
        <f t="shared" ref="J71" si="61">SUM(J59:J70)</f>
        <v>6149.3039999999992</v>
      </c>
      <c r="K71" s="11">
        <f t="shared" ref="K71" si="62">SUM(K59:K70)</f>
        <v>5292</v>
      </c>
      <c r="L71" s="11">
        <f t="shared" ref="L71" si="63">SUM(L59:L70)</f>
        <v>5292</v>
      </c>
      <c r="M71" s="40">
        <f t="shared" ref="M71" si="64">SUM(M59:M70)</f>
        <v>5075.3999999999996</v>
      </c>
      <c r="N71" s="30">
        <f t="shared" si="53"/>
        <v>68050.2</v>
      </c>
    </row>
    <row r="73" spans="1:14" x14ac:dyDescent="0.25">
      <c r="B73" s="1" t="s">
        <v>216</v>
      </c>
    </row>
    <row r="74" spans="1:14" x14ac:dyDescent="0.25">
      <c r="B74" s="28" t="s">
        <v>61</v>
      </c>
      <c r="C74" s="1" t="s">
        <v>154</v>
      </c>
      <c r="D74" s="1" t="s">
        <v>62</v>
      </c>
      <c r="E74" s="25" t="s">
        <v>93</v>
      </c>
      <c r="F74" s="25" t="s">
        <v>94</v>
      </c>
      <c r="G74" s="28" t="s">
        <v>95</v>
      </c>
      <c r="H74" s="27" t="s">
        <v>96</v>
      </c>
      <c r="I74" s="27" t="s">
        <v>97</v>
      </c>
      <c r="J74" s="1" t="s">
        <v>98</v>
      </c>
      <c r="K74" s="1" t="s">
        <v>99</v>
      </c>
      <c r="L74" s="1" t="s">
        <v>100</v>
      </c>
      <c r="M74" s="1" t="s">
        <v>101</v>
      </c>
      <c r="N74" s="1" t="s">
        <v>118</v>
      </c>
    </row>
    <row r="75" spans="1:14" x14ac:dyDescent="0.25">
      <c r="A75" t="s">
        <v>82</v>
      </c>
      <c r="B75" s="5">
        <f>B39</f>
        <v>317.52</v>
      </c>
      <c r="C75" s="5">
        <f t="shared" ref="C75:M75" si="65">C39</f>
        <v>294</v>
      </c>
      <c r="D75" s="5">
        <f t="shared" si="65"/>
        <v>294</v>
      </c>
      <c r="E75" s="5">
        <f t="shared" si="65"/>
        <v>294</v>
      </c>
      <c r="F75" s="5">
        <f t="shared" si="65"/>
        <v>294</v>
      </c>
      <c r="G75" s="5">
        <f t="shared" si="65"/>
        <v>303.40800000000002</v>
      </c>
      <c r="H75" s="5">
        <f t="shared" si="65"/>
        <v>411.59999999999997</v>
      </c>
      <c r="I75" s="5">
        <f t="shared" si="65"/>
        <v>402.19199999999995</v>
      </c>
      <c r="J75" s="5">
        <f t="shared" si="65"/>
        <v>294</v>
      </c>
      <c r="K75" s="5">
        <f t="shared" si="65"/>
        <v>294</v>
      </c>
      <c r="L75" s="5">
        <f t="shared" si="65"/>
        <v>296.35200000000003</v>
      </c>
      <c r="M75" s="5">
        <f t="shared" si="65"/>
        <v>321.52800000000002</v>
      </c>
    </row>
    <row r="76" spans="1:14" x14ac:dyDescent="0.25">
      <c r="A76" t="s">
        <v>211</v>
      </c>
      <c r="B76">
        <v>3</v>
      </c>
      <c r="C76">
        <v>3</v>
      </c>
      <c r="D76">
        <v>3</v>
      </c>
      <c r="E76">
        <v>3</v>
      </c>
      <c r="F76">
        <v>3</v>
      </c>
      <c r="G76">
        <v>3</v>
      </c>
      <c r="H76">
        <v>3</v>
      </c>
      <c r="I76">
        <v>3</v>
      </c>
      <c r="J76">
        <v>3</v>
      </c>
      <c r="K76">
        <v>3</v>
      </c>
      <c r="L76">
        <v>3</v>
      </c>
      <c r="M76">
        <v>3</v>
      </c>
    </row>
    <row r="77" spans="1:14" x14ac:dyDescent="0.25">
      <c r="A77" t="s">
        <v>212</v>
      </c>
      <c r="B77" s="5">
        <f>B75*B76</f>
        <v>952.56</v>
      </c>
      <c r="C77" s="5">
        <f t="shared" ref="C77:M77" si="66">C75*C76</f>
        <v>882</v>
      </c>
      <c r="D77" s="5">
        <f t="shared" si="66"/>
        <v>882</v>
      </c>
      <c r="E77" s="5">
        <f t="shared" si="66"/>
        <v>882</v>
      </c>
      <c r="F77" s="5">
        <f t="shared" si="66"/>
        <v>882</v>
      </c>
      <c r="G77" s="5">
        <f t="shared" si="66"/>
        <v>910.22400000000005</v>
      </c>
      <c r="H77" s="5">
        <f t="shared" si="66"/>
        <v>1234.8</v>
      </c>
      <c r="I77" s="5">
        <f t="shared" si="66"/>
        <v>1206.5759999999998</v>
      </c>
      <c r="J77" s="5">
        <f t="shared" si="66"/>
        <v>882</v>
      </c>
      <c r="K77" s="5">
        <f t="shared" si="66"/>
        <v>882</v>
      </c>
      <c r="L77" s="5">
        <f t="shared" si="66"/>
        <v>889.05600000000004</v>
      </c>
      <c r="M77" s="5">
        <f t="shared" si="66"/>
        <v>964.58400000000006</v>
      </c>
    </row>
    <row r="78" spans="1:14" x14ac:dyDescent="0.25">
      <c r="A78" t="s">
        <v>88</v>
      </c>
      <c r="B78" s="5">
        <f>C77*0.1</f>
        <v>88.2</v>
      </c>
      <c r="C78" s="5">
        <f t="shared" ref="C78:L78" si="67">D77*0.1</f>
        <v>88.2</v>
      </c>
      <c r="D78" s="5">
        <f t="shared" si="67"/>
        <v>88.2</v>
      </c>
      <c r="E78" s="5">
        <f t="shared" si="67"/>
        <v>88.2</v>
      </c>
      <c r="F78" s="5">
        <f t="shared" si="67"/>
        <v>91.022400000000005</v>
      </c>
      <c r="G78" s="5">
        <f t="shared" si="67"/>
        <v>123.48</v>
      </c>
      <c r="H78" s="5">
        <f t="shared" si="67"/>
        <v>120.65759999999999</v>
      </c>
      <c r="I78" s="5">
        <f t="shared" si="67"/>
        <v>88.2</v>
      </c>
      <c r="J78" s="5">
        <f t="shared" si="67"/>
        <v>88.2</v>
      </c>
      <c r="K78" s="5">
        <f t="shared" si="67"/>
        <v>88.905600000000007</v>
      </c>
      <c r="L78" s="5">
        <f t="shared" si="67"/>
        <v>96.458400000000012</v>
      </c>
      <c r="M78" s="5">
        <f>16</f>
        <v>16</v>
      </c>
    </row>
    <row r="79" spans="1:14" x14ac:dyDescent="0.25">
      <c r="A79" t="s">
        <v>89</v>
      </c>
      <c r="B79" s="5">
        <f>SUM(B77:B78)</f>
        <v>1040.76</v>
      </c>
      <c r="C79" s="5">
        <f t="shared" ref="C79" si="68">SUM(C77:C78)</f>
        <v>970.2</v>
      </c>
      <c r="D79" s="5">
        <f t="shared" ref="D79" si="69">SUM(D77:D78)</f>
        <v>970.2</v>
      </c>
      <c r="E79" s="5">
        <f t="shared" ref="E79" si="70">SUM(E77:E78)</f>
        <v>970.2</v>
      </c>
      <c r="F79" s="5">
        <f t="shared" ref="F79" si="71">SUM(F77:F78)</f>
        <v>973.02240000000006</v>
      </c>
      <c r="G79" s="5">
        <f t="shared" ref="G79" si="72">SUM(G77:G78)</f>
        <v>1033.704</v>
      </c>
      <c r="H79" s="5">
        <f t="shared" ref="H79" si="73">SUM(H77:H78)</f>
        <v>1355.4576</v>
      </c>
      <c r="I79" s="5">
        <f t="shared" ref="I79" si="74">SUM(I77:I78)</f>
        <v>1294.7759999999998</v>
      </c>
      <c r="J79" s="5">
        <f t="shared" ref="J79" si="75">SUM(J77:J78)</f>
        <v>970.2</v>
      </c>
      <c r="K79" s="5">
        <f t="shared" ref="K79" si="76">SUM(K77:K78)</f>
        <v>970.90560000000005</v>
      </c>
      <c r="L79" s="5">
        <f t="shared" ref="L79" si="77">SUM(L77:L78)</f>
        <v>985.51440000000002</v>
      </c>
      <c r="M79" s="5">
        <f t="shared" ref="M79" si="78">SUM(M77:M78)</f>
        <v>980.58400000000006</v>
      </c>
    </row>
    <row r="80" spans="1:14" x14ac:dyDescent="0.25">
      <c r="A80" t="s">
        <v>90</v>
      </c>
      <c r="B80">
        <f>0</f>
        <v>0</v>
      </c>
      <c r="C80" s="5">
        <f>B78</f>
        <v>88.2</v>
      </c>
      <c r="D80" s="5">
        <f>C78</f>
        <v>88.2</v>
      </c>
      <c r="E80" s="5">
        <f>D78</f>
        <v>88.2</v>
      </c>
      <c r="F80" s="5">
        <f t="shared" ref="F80:M80" si="79">E78</f>
        <v>88.2</v>
      </c>
      <c r="G80" s="5">
        <f t="shared" si="79"/>
        <v>91.022400000000005</v>
      </c>
      <c r="H80" s="5">
        <f t="shared" si="79"/>
        <v>123.48</v>
      </c>
      <c r="I80" s="5">
        <f t="shared" si="79"/>
        <v>120.65759999999999</v>
      </c>
      <c r="J80" s="5">
        <f t="shared" si="79"/>
        <v>88.2</v>
      </c>
      <c r="K80" s="5">
        <f t="shared" si="79"/>
        <v>88.2</v>
      </c>
      <c r="L80" s="5">
        <f t="shared" si="79"/>
        <v>88.905600000000007</v>
      </c>
      <c r="M80" s="5">
        <f t="shared" si="79"/>
        <v>96.458400000000012</v>
      </c>
    </row>
    <row r="81" spans="1:14" x14ac:dyDescent="0.25">
      <c r="A81" t="s">
        <v>213</v>
      </c>
      <c r="B81" s="5">
        <f>B79-B80</f>
        <v>1040.76</v>
      </c>
      <c r="C81" s="5">
        <f t="shared" ref="C81" si="80">C79-C80</f>
        <v>882</v>
      </c>
      <c r="D81" s="5">
        <f t="shared" ref="D81" si="81">D79-D80</f>
        <v>882</v>
      </c>
      <c r="E81" s="5">
        <f t="shared" ref="E81" si="82">E79-E80</f>
        <v>882</v>
      </c>
      <c r="F81" s="5">
        <f t="shared" ref="F81" si="83">F79-F80</f>
        <v>884.82240000000002</v>
      </c>
      <c r="G81" s="5">
        <f t="shared" ref="G81" si="84">G79-G80</f>
        <v>942.68159999999989</v>
      </c>
      <c r="H81" s="5">
        <f t="shared" ref="H81" si="85">H79-H80</f>
        <v>1231.9775999999999</v>
      </c>
      <c r="I81" s="5">
        <f t="shared" ref="I81" si="86">I79-I80</f>
        <v>1174.1183999999998</v>
      </c>
      <c r="J81" s="5">
        <f t="shared" ref="J81" si="87">J79-J80</f>
        <v>882</v>
      </c>
      <c r="K81" s="5">
        <f t="shared" ref="K81" si="88">K79-K80</f>
        <v>882.7056</v>
      </c>
      <c r="L81" s="5">
        <f t="shared" ref="L81" si="89">L79-L80</f>
        <v>896.60879999999997</v>
      </c>
      <c r="M81" s="5">
        <f>M79-M80</f>
        <v>884.12560000000008</v>
      </c>
    </row>
    <row r="82" spans="1:14" x14ac:dyDescent="0.25">
      <c r="A82" t="s">
        <v>210</v>
      </c>
      <c r="B82" s="30">
        <f>B81*6</f>
        <v>6244.5599999999995</v>
      </c>
      <c r="C82" s="30">
        <f t="shared" ref="C82" si="90">C81*6</f>
        <v>5292</v>
      </c>
      <c r="D82" s="30">
        <f t="shared" ref="D82" si="91">D81*6</f>
        <v>5292</v>
      </c>
      <c r="E82" s="30">
        <f t="shared" ref="E82" si="92">E81*6</f>
        <v>5292</v>
      </c>
      <c r="F82" s="30">
        <f t="shared" ref="F82" si="93">F81*6</f>
        <v>5308.9344000000001</v>
      </c>
      <c r="G82" s="30">
        <f t="shared" ref="G82" si="94">G81*6</f>
        <v>5656.0895999999993</v>
      </c>
      <c r="H82" s="30">
        <f t="shared" ref="H82" si="95">H81*6</f>
        <v>7391.8655999999992</v>
      </c>
      <c r="I82" s="30">
        <f t="shared" ref="I82" si="96">I81*6</f>
        <v>7044.710399999999</v>
      </c>
      <c r="J82" s="30">
        <f t="shared" ref="J82" si="97">J81*6</f>
        <v>5292</v>
      </c>
      <c r="K82" s="30">
        <f t="shared" ref="K82" si="98">K81*6</f>
        <v>5296.2335999999996</v>
      </c>
      <c r="L82" s="30">
        <f t="shared" ref="L82" si="99">L81*6</f>
        <v>5379.6527999999998</v>
      </c>
      <c r="M82" s="30">
        <f t="shared" ref="M82" si="100">M81*6</f>
        <v>5304.7536</v>
      </c>
      <c r="N82" s="11">
        <f>SUM(B82:M82)</f>
        <v>68794.799999999988</v>
      </c>
    </row>
    <row r="83" spans="1:14" ht="17.25" customHeight="1" x14ac:dyDescent="0.25"/>
    <row r="85" spans="1:14" ht="15.75" x14ac:dyDescent="0.25">
      <c r="B85" s="32" t="s">
        <v>217</v>
      </c>
    </row>
    <row r="86" spans="1:14" x14ac:dyDescent="0.25">
      <c r="B86" s="28" t="s">
        <v>61</v>
      </c>
      <c r="C86" s="1" t="s">
        <v>154</v>
      </c>
      <c r="D86" s="1" t="s">
        <v>62</v>
      </c>
      <c r="E86" s="25" t="s">
        <v>93</v>
      </c>
      <c r="F86" s="25" t="s">
        <v>94</v>
      </c>
      <c r="G86" s="28" t="s">
        <v>95</v>
      </c>
      <c r="H86" s="27" t="s">
        <v>96</v>
      </c>
      <c r="I86" s="27" t="s">
        <v>97</v>
      </c>
      <c r="J86" s="1" t="s">
        <v>98</v>
      </c>
      <c r="K86" s="1" t="s">
        <v>99</v>
      </c>
      <c r="L86" s="1" t="s">
        <v>100</v>
      </c>
      <c r="M86" s="1" t="s">
        <v>101</v>
      </c>
      <c r="N86" s="1" t="s">
        <v>118</v>
      </c>
    </row>
    <row r="87" spans="1:14" x14ac:dyDescent="0.25">
      <c r="A87" t="s">
        <v>153</v>
      </c>
      <c r="B87" s="11">
        <f>B82*0.5</f>
        <v>3122.2799999999997</v>
      </c>
      <c r="C87" s="30">
        <f>B87</f>
        <v>3122.2799999999997</v>
      </c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>
        <f>SUM(B87:M87)</f>
        <v>6244.5599999999995</v>
      </c>
    </row>
    <row r="88" spans="1:14" x14ac:dyDescent="0.25">
      <c r="A88" t="s">
        <v>154</v>
      </c>
      <c r="B88" s="1"/>
      <c r="C88" s="11">
        <f>C82*0.5</f>
        <v>2646</v>
      </c>
      <c r="D88" s="11">
        <f>C88</f>
        <v>2646</v>
      </c>
      <c r="N88" s="30">
        <f>SUM(B88:M88)</f>
        <v>5292</v>
      </c>
    </row>
    <row r="89" spans="1:14" x14ac:dyDescent="0.25">
      <c r="A89" t="s">
        <v>155</v>
      </c>
      <c r="D89" s="11">
        <f>D82*0.5</f>
        <v>2646</v>
      </c>
      <c r="E89" s="11">
        <f>D89</f>
        <v>2646</v>
      </c>
      <c r="N89" s="30">
        <f>SUM(B89:M89)</f>
        <v>5292</v>
      </c>
    </row>
    <row r="90" spans="1:14" x14ac:dyDescent="0.25">
      <c r="A90" t="s">
        <v>93</v>
      </c>
      <c r="E90" s="11">
        <f>E82*0.5</f>
        <v>2646</v>
      </c>
      <c r="F90" s="11">
        <f>E90</f>
        <v>2646</v>
      </c>
      <c r="N90" s="30">
        <f>SUM(B90:M90)</f>
        <v>5292</v>
      </c>
    </row>
    <row r="91" spans="1:14" x14ac:dyDescent="0.25">
      <c r="A91" t="s">
        <v>94</v>
      </c>
      <c r="F91" s="11">
        <f>F82*0.5</f>
        <v>2654.4672</v>
      </c>
      <c r="G91" s="11">
        <f>F91</f>
        <v>2654.4672</v>
      </c>
      <c r="N91" s="30">
        <f>SUM(B91:M91)</f>
        <v>5308.9344000000001</v>
      </c>
    </row>
    <row r="92" spans="1:14" x14ac:dyDescent="0.25">
      <c r="A92" t="s">
        <v>95</v>
      </c>
      <c r="G92" s="11">
        <f>G82*0.5</f>
        <v>2828.0447999999997</v>
      </c>
      <c r="H92" s="11">
        <f>G92</f>
        <v>2828.0447999999997</v>
      </c>
      <c r="N92" s="30">
        <f>SUM(B92:M92)</f>
        <v>5656.0895999999993</v>
      </c>
    </row>
    <row r="93" spans="1:14" x14ac:dyDescent="0.25">
      <c r="A93" t="s">
        <v>156</v>
      </c>
      <c r="H93" s="11">
        <f>H82*0.5</f>
        <v>3695.9327999999996</v>
      </c>
      <c r="I93" s="11">
        <f>H93</f>
        <v>3695.9327999999996</v>
      </c>
      <c r="N93" s="30">
        <f>SUM(B93:M93)</f>
        <v>7391.8655999999992</v>
      </c>
    </row>
    <row r="94" spans="1:14" x14ac:dyDescent="0.25">
      <c r="A94" t="s">
        <v>97</v>
      </c>
      <c r="I94" s="11">
        <f>I82*0.5</f>
        <v>3522.3551999999995</v>
      </c>
      <c r="J94" s="11">
        <f>I94</f>
        <v>3522.3551999999995</v>
      </c>
      <c r="N94" s="30">
        <f>SUM(B94:M94)</f>
        <v>7044.710399999999</v>
      </c>
    </row>
    <row r="95" spans="1:14" x14ac:dyDescent="0.25">
      <c r="A95" t="s">
        <v>98</v>
      </c>
      <c r="J95" s="11">
        <f>J82*0.5</f>
        <v>2646</v>
      </c>
      <c r="K95" s="11">
        <f>J95</f>
        <v>2646</v>
      </c>
      <c r="N95" s="30">
        <f>SUM(B95:M95)</f>
        <v>5292</v>
      </c>
    </row>
    <row r="96" spans="1:14" x14ac:dyDescent="0.25">
      <c r="A96" t="s">
        <v>99</v>
      </c>
      <c r="K96" s="11">
        <f>K82*0.5</f>
        <v>2648.1167999999998</v>
      </c>
      <c r="L96" s="11">
        <f>K96</f>
        <v>2648.1167999999998</v>
      </c>
      <c r="N96" s="30">
        <f>SUM(B96:M96)</f>
        <v>5296.2335999999996</v>
      </c>
    </row>
    <row r="97" spans="1:14" x14ac:dyDescent="0.25">
      <c r="A97" t="s">
        <v>100</v>
      </c>
      <c r="L97" s="11">
        <f>L82*0.5</f>
        <v>2689.8263999999999</v>
      </c>
      <c r="M97" s="11">
        <f>L97</f>
        <v>2689.8263999999999</v>
      </c>
      <c r="N97" s="30">
        <f>SUM(B97:M97)</f>
        <v>5379.6527999999998</v>
      </c>
    </row>
    <row r="98" spans="1:14" ht="15.75" thickBot="1" x14ac:dyDescent="0.3">
      <c r="A98" s="31" t="s">
        <v>101</v>
      </c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16">
        <f>M82*0.5</f>
        <v>2652.3768</v>
      </c>
      <c r="N98" s="34">
        <f>SUM(B98:M98)</f>
        <v>2652.3768</v>
      </c>
    </row>
    <row r="99" spans="1:14" ht="15.75" thickTop="1" x14ac:dyDescent="0.25">
      <c r="A99" t="s">
        <v>157</v>
      </c>
      <c r="B99" s="11">
        <f>SUM(B87:B98)</f>
        <v>3122.2799999999997</v>
      </c>
      <c r="C99" s="11">
        <f t="shared" ref="C99:M99" si="101">SUM(C87:C98)</f>
        <v>5768.28</v>
      </c>
      <c r="D99" s="11">
        <f t="shared" si="101"/>
        <v>5292</v>
      </c>
      <c r="E99" s="11">
        <f t="shared" si="101"/>
        <v>5292</v>
      </c>
      <c r="F99" s="11">
        <f t="shared" si="101"/>
        <v>5300.4672</v>
      </c>
      <c r="G99" s="11">
        <f t="shared" si="101"/>
        <v>5482.5119999999997</v>
      </c>
      <c r="H99" s="11">
        <f t="shared" si="101"/>
        <v>6523.9775999999993</v>
      </c>
      <c r="I99" s="11">
        <f t="shared" si="101"/>
        <v>7218.2879999999986</v>
      </c>
      <c r="J99" s="11">
        <f t="shared" si="101"/>
        <v>6168.3552</v>
      </c>
      <c r="K99" s="11">
        <f t="shared" si="101"/>
        <v>5294.1167999999998</v>
      </c>
      <c r="L99" s="11">
        <f t="shared" si="101"/>
        <v>5337.9431999999997</v>
      </c>
      <c r="M99" s="11">
        <f t="shared" si="101"/>
        <v>5342.2031999999999</v>
      </c>
      <c r="N99" s="30">
        <f>SUM(B99:M99)</f>
        <v>66142.42319999999</v>
      </c>
    </row>
    <row r="102" spans="1:14" x14ac:dyDescent="0.25">
      <c r="B102" s="1" t="s">
        <v>218</v>
      </c>
    </row>
    <row r="103" spans="1:14" x14ac:dyDescent="0.25">
      <c r="B103" s="28" t="s">
        <v>61</v>
      </c>
      <c r="C103" s="1" t="s">
        <v>154</v>
      </c>
      <c r="D103" s="1" t="s">
        <v>62</v>
      </c>
      <c r="E103" s="25" t="s">
        <v>93</v>
      </c>
      <c r="F103" s="25" t="s">
        <v>94</v>
      </c>
      <c r="G103" s="28" t="s">
        <v>95</v>
      </c>
      <c r="H103" s="27" t="s">
        <v>96</v>
      </c>
      <c r="I103" s="27" t="s">
        <v>97</v>
      </c>
      <c r="J103" s="1" t="s">
        <v>98</v>
      </c>
      <c r="K103" s="1" t="s">
        <v>99</v>
      </c>
      <c r="L103" s="1" t="s">
        <v>100</v>
      </c>
      <c r="M103" s="1" t="s">
        <v>101</v>
      </c>
      <c r="N103" s="1" t="s">
        <v>118</v>
      </c>
    </row>
    <row r="104" spans="1:14" x14ac:dyDescent="0.25">
      <c r="A104" t="s">
        <v>159</v>
      </c>
      <c r="B104" s="5">
        <f>B29</f>
        <v>376.32</v>
      </c>
      <c r="C104" s="5">
        <f>C29</f>
        <v>358.67999999999995</v>
      </c>
      <c r="D104" s="5">
        <f>D29</f>
        <v>294</v>
      </c>
      <c r="E104" s="5">
        <f>E29</f>
        <v>294</v>
      </c>
      <c r="F104" s="5">
        <f>F29</f>
        <v>294</v>
      </c>
      <c r="G104" s="5">
        <f>G29</f>
        <v>305.76</v>
      </c>
      <c r="H104" s="5">
        <f>H29</f>
        <v>411.6</v>
      </c>
      <c r="I104" s="5">
        <f>I29</f>
        <v>399.83999999999992</v>
      </c>
      <c r="J104" s="5">
        <f>J29</f>
        <v>294</v>
      </c>
      <c r="K104" s="5">
        <f>K29</f>
        <v>294</v>
      </c>
      <c r="L104" s="5">
        <f>L29</f>
        <v>294</v>
      </c>
      <c r="M104" s="5">
        <f>M29</f>
        <v>294</v>
      </c>
    </row>
    <row r="105" spans="1:14" x14ac:dyDescent="0.25">
      <c r="A105" t="s">
        <v>162</v>
      </c>
      <c r="B105">
        <v>2</v>
      </c>
      <c r="C105">
        <v>2</v>
      </c>
      <c r="D105">
        <v>2</v>
      </c>
      <c r="E105">
        <v>2</v>
      </c>
      <c r="F105">
        <v>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</row>
    <row r="106" spans="1:14" x14ac:dyDescent="0.25">
      <c r="A106" t="s">
        <v>160</v>
      </c>
      <c r="B106">
        <f>B104*B105</f>
        <v>752.64</v>
      </c>
      <c r="C106">
        <f t="shared" ref="C106:M106" si="102">C104*C105</f>
        <v>717.3599999999999</v>
      </c>
      <c r="D106">
        <f t="shared" si="102"/>
        <v>588</v>
      </c>
      <c r="E106">
        <f t="shared" si="102"/>
        <v>588</v>
      </c>
      <c r="F106">
        <f t="shared" si="102"/>
        <v>588</v>
      </c>
      <c r="G106">
        <f t="shared" si="102"/>
        <v>611.52</v>
      </c>
      <c r="H106">
        <f t="shared" si="102"/>
        <v>823.2</v>
      </c>
      <c r="I106">
        <f t="shared" si="102"/>
        <v>799.67999999999984</v>
      </c>
      <c r="J106">
        <f t="shared" si="102"/>
        <v>588</v>
      </c>
      <c r="K106">
        <f t="shared" si="102"/>
        <v>588</v>
      </c>
      <c r="L106">
        <f t="shared" si="102"/>
        <v>588</v>
      </c>
      <c r="M106">
        <f t="shared" si="102"/>
        <v>588</v>
      </c>
    </row>
    <row r="107" spans="1:14" x14ac:dyDescent="0.25">
      <c r="A107" t="s">
        <v>161</v>
      </c>
      <c r="B107" cm="1">
        <f t="array" ref="B107:M107">B106:M106</f>
        <v>752.64</v>
      </c>
      <c r="C107">
        <v>717.3599999999999</v>
      </c>
      <c r="D107">
        <v>588</v>
      </c>
      <c r="E107">
        <v>588</v>
      </c>
      <c r="F107">
        <v>588</v>
      </c>
      <c r="G107">
        <v>611.52</v>
      </c>
      <c r="H107">
        <v>823.2</v>
      </c>
      <c r="I107">
        <v>799.67999999999984</v>
      </c>
      <c r="J107">
        <v>588</v>
      </c>
      <c r="K107">
        <v>588</v>
      </c>
      <c r="L107">
        <v>588</v>
      </c>
      <c r="M107">
        <v>588</v>
      </c>
    </row>
    <row r="108" spans="1:14" x14ac:dyDescent="0.25">
      <c r="A108" t="s">
        <v>223</v>
      </c>
      <c r="B108" s="8">
        <v>13</v>
      </c>
      <c r="C108" s="8">
        <v>13</v>
      </c>
      <c r="D108" s="8">
        <v>13</v>
      </c>
      <c r="E108" s="8">
        <v>13</v>
      </c>
      <c r="F108" s="8">
        <v>13</v>
      </c>
      <c r="G108" s="8">
        <v>13</v>
      </c>
      <c r="H108" s="8">
        <v>13</v>
      </c>
      <c r="I108" s="8">
        <v>13</v>
      </c>
      <c r="J108" s="8">
        <v>13</v>
      </c>
      <c r="K108" s="8">
        <v>13</v>
      </c>
      <c r="L108" s="8">
        <v>13</v>
      </c>
      <c r="M108" s="8">
        <v>13</v>
      </c>
    </row>
    <row r="109" spans="1:14" x14ac:dyDescent="0.25">
      <c r="A109" t="s">
        <v>164</v>
      </c>
      <c r="B109" s="11">
        <f>B107*B108</f>
        <v>9784.32</v>
      </c>
      <c r="C109" s="11">
        <f t="shared" ref="C109:M109" si="103">C107*C108</f>
        <v>9325.6799999999985</v>
      </c>
      <c r="D109" s="11">
        <f t="shared" si="103"/>
        <v>7644</v>
      </c>
      <c r="E109" s="11">
        <f t="shared" si="103"/>
        <v>7644</v>
      </c>
      <c r="F109" s="11">
        <f t="shared" si="103"/>
        <v>7644</v>
      </c>
      <c r="G109" s="11">
        <f t="shared" si="103"/>
        <v>7949.76</v>
      </c>
      <c r="H109" s="11">
        <f t="shared" si="103"/>
        <v>10701.6</v>
      </c>
      <c r="I109" s="11">
        <f t="shared" si="103"/>
        <v>10395.839999999998</v>
      </c>
      <c r="J109" s="11">
        <f t="shared" si="103"/>
        <v>7644</v>
      </c>
      <c r="K109" s="11">
        <f t="shared" si="103"/>
        <v>7644</v>
      </c>
      <c r="L109" s="11">
        <f t="shared" si="103"/>
        <v>7644</v>
      </c>
      <c r="M109" s="11">
        <f t="shared" si="103"/>
        <v>7644</v>
      </c>
      <c r="N109" s="33">
        <f>SUM(B109:M109)</f>
        <v>101665.2</v>
      </c>
    </row>
    <row r="111" spans="1:14" x14ac:dyDescent="0.25">
      <c r="B111" s="1" t="s">
        <v>219</v>
      </c>
    </row>
    <row r="112" spans="1:14" x14ac:dyDescent="0.25">
      <c r="B112" s="28" t="s">
        <v>61</v>
      </c>
      <c r="C112" s="1" t="s">
        <v>154</v>
      </c>
      <c r="D112" s="1" t="s">
        <v>62</v>
      </c>
      <c r="E112" s="25" t="s">
        <v>93</v>
      </c>
      <c r="F112" s="25" t="s">
        <v>94</v>
      </c>
      <c r="G112" s="28" t="s">
        <v>95</v>
      </c>
      <c r="H112" s="27" t="s">
        <v>96</v>
      </c>
      <c r="I112" s="27" t="s">
        <v>97</v>
      </c>
      <c r="J112" s="1" t="s">
        <v>98</v>
      </c>
      <c r="K112" s="1" t="s">
        <v>99</v>
      </c>
      <c r="L112" s="1" t="s">
        <v>100</v>
      </c>
      <c r="M112" s="1" t="s">
        <v>101</v>
      </c>
      <c r="N112" s="1" t="s">
        <v>118</v>
      </c>
    </row>
    <row r="113" spans="1:14" x14ac:dyDescent="0.25">
      <c r="A113" t="s">
        <v>159</v>
      </c>
      <c r="B113" s="5">
        <f>B39</f>
        <v>317.52</v>
      </c>
      <c r="C113" s="5">
        <f>C39</f>
        <v>294</v>
      </c>
      <c r="D113" s="5">
        <f>D39</f>
        <v>294</v>
      </c>
      <c r="E113" s="5">
        <f>E39</f>
        <v>294</v>
      </c>
      <c r="F113" s="5">
        <f>F39</f>
        <v>294</v>
      </c>
      <c r="G113" s="5">
        <f>G39</f>
        <v>303.40800000000002</v>
      </c>
      <c r="H113" s="5">
        <f>H39</f>
        <v>411.59999999999997</v>
      </c>
      <c r="I113" s="5">
        <f>I39</f>
        <v>402.19199999999995</v>
      </c>
      <c r="J113" s="5">
        <f>J39</f>
        <v>294</v>
      </c>
      <c r="K113" s="5">
        <f>K39</f>
        <v>294</v>
      </c>
      <c r="L113" s="5">
        <f>L39</f>
        <v>296.35200000000003</v>
      </c>
      <c r="M113" s="5">
        <f>M39</f>
        <v>321.52800000000002</v>
      </c>
    </row>
    <row r="114" spans="1:14" x14ac:dyDescent="0.25">
      <c r="A114" t="s">
        <v>162</v>
      </c>
      <c r="B114">
        <v>2</v>
      </c>
      <c r="C114">
        <v>2</v>
      </c>
      <c r="D114">
        <v>2</v>
      </c>
      <c r="E114">
        <v>2</v>
      </c>
      <c r="F114">
        <v>2</v>
      </c>
      <c r="G114">
        <v>2</v>
      </c>
      <c r="H114">
        <v>2</v>
      </c>
      <c r="I114">
        <v>2</v>
      </c>
      <c r="J114">
        <v>2</v>
      </c>
      <c r="K114">
        <v>2</v>
      </c>
      <c r="L114">
        <v>2</v>
      </c>
      <c r="M114">
        <v>2</v>
      </c>
    </row>
    <row r="115" spans="1:14" x14ac:dyDescent="0.25">
      <c r="A115" t="s">
        <v>160</v>
      </c>
      <c r="B115" s="5">
        <f>B113*B114</f>
        <v>635.04</v>
      </c>
      <c r="C115" s="5">
        <f t="shared" ref="C115:M115" si="104">C113*C114</f>
        <v>588</v>
      </c>
      <c r="D115" s="5">
        <f t="shared" si="104"/>
        <v>588</v>
      </c>
      <c r="E115" s="5">
        <f t="shared" si="104"/>
        <v>588</v>
      </c>
      <c r="F115" s="5">
        <f t="shared" si="104"/>
        <v>588</v>
      </c>
      <c r="G115" s="5">
        <f t="shared" si="104"/>
        <v>606.81600000000003</v>
      </c>
      <c r="H115" s="5">
        <f t="shared" si="104"/>
        <v>823.19999999999993</v>
      </c>
      <c r="I115" s="5">
        <f t="shared" si="104"/>
        <v>804.3839999999999</v>
      </c>
      <c r="J115" s="5">
        <f t="shared" si="104"/>
        <v>588</v>
      </c>
      <c r="K115" s="5">
        <f t="shared" si="104"/>
        <v>588</v>
      </c>
      <c r="L115" s="5">
        <f t="shared" si="104"/>
        <v>592.70400000000006</v>
      </c>
      <c r="M115" s="5">
        <f t="shared" si="104"/>
        <v>643.05600000000004</v>
      </c>
    </row>
    <row r="116" spans="1:14" x14ac:dyDescent="0.25">
      <c r="A116" t="s">
        <v>161</v>
      </c>
      <c r="B116" s="5">
        <f>B115</f>
        <v>635.04</v>
      </c>
      <c r="C116" s="5">
        <f t="shared" ref="C116:M116" si="105">C115</f>
        <v>588</v>
      </c>
      <c r="D116" s="5">
        <f t="shared" si="105"/>
        <v>588</v>
      </c>
      <c r="E116" s="5">
        <f t="shared" si="105"/>
        <v>588</v>
      </c>
      <c r="F116" s="5">
        <f t="shared" si="105"/>
        <v>588</v>
      </c>
      <c r="G116" s="5">
        <f t="shared" si="105"/>
        <v>606.81600000000003</v>
      </c>
      <c r="H116" s="5">
        <f t="shared" si="105"/>
        <v>823.19999999999993</v>
      </c>
      <c r="I116" s="5">
        <f t="shared" si="105"/>
        <v>804.3839999999999</v>
      </c>
      <c r="J116" s="5">
        <f t="shared" si="105"/>
        <v>588</v>
      </c>
      <c r="K116" s="5">
        <f t="shared" si="105"/>
        <v>588</v>
      </c>
      <c r="L116" s="5">
        <f t="shared" si="105"/>
        <v>592.70400000000006</v>
      </c>
      <c r="M116" s="5">
        <f t="shared" si="105"/>
        <v>643.05600000000004</v>
      </c>
    </row>
    <row r="117" spans="1:14" x14ac:dyDescent="0.25">
      <c r="A117" t="s">
        <v>222</v>
      </c>
      <c r="B117" s="8">
        <v>13</v>
      </c>
      <c r="C117" s="8">
        <v>13</v>
      </c>
      <c r="D117" s="8">
        <v>13</v>
      </c>
      <c r="E117" s="8">
        <v>13</v>
      </c>
      <c r="F117" s="8">
        <v>13</v>
      </c>
      <c r="G117" s="8">
        <v>13</v>
      </c>
      <c r="H117" s="8">
        <v>13</v>
      </c>
      <c r="I117" s="8">
        <v>13</v>
      </c>
      <c r="J117" s="8">
        <v>13</v>
      </c>
      <c r="K117" s="8">
        <v>13</v>
      </c>
      <c r="L117" s="8">
        <v>13</v>
      </c>
      <c r="M117" s="8">
        <v>13</v>
      </c>
    </row>
    <row r="118" spans="1:14" x14ac:dyDescent="0.25">
      <c r="A118" t="s">
        <v>164</v>
      </c>
      <c r="B118" s="11">
        <f>B116*B117</f>
        <v>8255.52</v>
      </c>
      <c r="C118" s="11">
        <f t="shared" ref="C118" si="106">C116*C117</f>
        <v>7644</v>
      </c>
      <c r="D118" s="11">
        <f t="shared" ref="D118" si="107">D116*D117</f>
        <v>7644</v>
      </c>
      <c r="E118" s="11">
        <f t="shared" ref="E118" si="108">E116*E117</f>
        <v>7644</v>
      </c>
      <c r="F118" s="11">
        <f t="shared" ref="F118" si="109">F116*F117</f>
        <v>7644</v>
      </c>
      <c r="G118" s="11">
        <f t="shared" ref="G118" si="110">G116*G117</f>
        <v>7888.6080000000002</v>
      </c>
      <c r="H118" s="11">
        <f t="shared" ref="H118" si="111">H116*H117</f>
        <v>10701.599999999999</v>
      </c>
      <c r="I118" s="11">
        <f t="shared" ref="I118" si="112">I116*I117</f>
        <v>10456.991999999998</v>
      </c>
      <c r="J118" s="11">
        <f t="shared" ref="J118" si="113">J116*J117</f>
        <v>7644</v>
      </c>
      <c r="K118" s="11">
        <f t="shared" ref="K118" si="114">K116*K117</f>
        <v>7644</v>
      </c>
      <c r="L118" s="11">
        <f t="shared" ref="L118" si="115">L116*L117</f>
        <v>7705.152000000001</v>
      </c>
      <c r="M118" s="11">
        <f t="shared" ref="M118" si="116">M116*M117</f>
        <v>8359.728000000001</v>
      </c>
      <c r="N118" s="33">
        <f>SUM(B118:M118)</f>
        <v>99231.6</v>
      </c>
    </row>
    <row r="121" spans="1:14" x14ac:dyDescent="0.25">
      <c r="B121" s="1" t="s">
        <v>173</v>
      </c>
      <c r="C121" s="1" t="s">
        <v>191</v>
      </c>
    </row>
    <row r="122" spans="1:14" x14ac:dyDescent="0.25">
      <c r="B122" s="28" t="s">
        <v>61</v>
      </c>
      <c r="C122" s="1" t="s">
        <v>154</v>
      </c>
      <c r="D122" s="1" t="s">
        <v>62</v>
      </c>
      <c r="E122" s="25" t="s">
        <v>93</v>
      </c>
      <c r="F122" s="25" t="s">
        <v>94</v>
      </c>
      <c r="G122" s="28" t="s">
        <v>95</v>
      </c>
      <c r="H122" s="27" t="s">
        <v>96</v>
      </c>
      <c r="I122" s="27" t="s">
        <v>97</v>
      </c>
      <c r="J122" s="1" t="s">
        <v>98</v>
      </c>
      <c r="K122" s="1" t="s">
        <v>99</v>
      </c>
      <c r="L122" s="1" t="s">
        <v>100</v>
      </c>
      <c r="M122" s="1" t="s">
        <v>101</v>
      </c>
      <c r="N122" s="1" t="s">
        <v>118</v>
      </c>
    </row>
    <row r="123" spans="1:14" x14ac:dyDescent="0.25">
      <c r="A123" t="s">
        <v>167</v>
      </c>
      <c r="B123" s="8">
        <f>10000</f>
        <v>10000</v>
      </c>
      <c r="C123" s="11">
        <f>B140</f>
        <v>14328.188000000002</v>
      </c>
      <c r="D123" s="11">
        <f>C134</f>
        <v>17932.628000000004</v>
      </c>
      <c r="E123" s="11">
        <f>D134</f>
        <v>20936.720000000005</v>
      </c>
      <c r="F123" s="11">
        <f>E134</f>
        <v>24464.720000000001</v>
      </c>
      <c r="G123" s="11">
        <f>F134</f>
        <v>27973.668800000003</v>
      </c>
      <c r="H123" s="11">
        <f>G134</f>
        <v>30549.108800000002</v>
      </c>
      <c r="I123" s="11">
        <f>H134</f>
        <v>24790.119200000001</v>
      </c>
      <c r="J123" s="11">
        <f>I134</f>
        <v>18230.979200000009</v>
      </c>
      <c r="K123" s="11">
        <f>J134</f>
        <v>20025.320000000007</v>
      </c>
      <c r="L123" s="11">
        <f>K134</f>
        <v>23551.203200000007</v>
      </c>
      <c r="M123" s="11">
        <f>L134</f>
        <v>26972.108</v>
      </c>
      <c r="N123" s="1"/>
    </row>
    <row r="124" spans="1:14" x14ac:dyDescent="0.25">
      <c r="A124" t="s">
        <v>221</v>
      </c>
      <c r="B124" s="11">
        <f>B12</f>
        <v>29400</v>
      </c>
      <c r="C124" s="11">
        <f>C19</f>
        <v>33222</v>
      </c>
      <c r="D124" s="11">
        <f>D19</f>
        <v>29400</v>
      </c>
      <c r="E124" s="11">
        <f>E19</f>
        <v>29400</v>
      </c>
      <c r="F124" s="11">
        <f>F19</f>
        <v>29400</v>
      </c>
      <c r="G124" s="11">
        <f>G19</f>
        <v>29400</v>
      </c>
      <c r="H124" s="11">
        <f>H19</f>
        <v>28709.1</v>
      </c>
      <c r="I124" s="11">
        <f>I19</f>
        <v>28709.1</v>
      </c>
      <c r="J124" s="11">
        <f>J19</f>
        <v>29400</v>
      </c>
      <c r="K124" s="11">
        <f>K19</f>
        <v>29400</v>
      </c>
      <c r="L124" s="11">
        <f>L19</f>
        <v>29400</v>
      </c>
      <c r="M124" s="11">
        <f>M19</f>
        <v>29253</v>
      </c>
    </row>
    <row r="125" spans="1:14" x14ac:dyDescent="0.25">
      <c r="A125" t="s">
        <v>168</v>
      </c>
      <c r="B125" s="11">
        <f>SUM(B123:B124)</f>
        <v>39400</v>
      </c>
      <c r="C125" s="11">
        <f>SUM(C123:C124)</f>
        <v>47550.188000000002</v>
      </c>
      <c r="D125" s="11">
        <f>SUM(D123:D124)</f>
        <v>47332.628000000004</v>
      </c>
      <c r="E125" s="11">
        <f>SUM(E123:E124)</f>
        <v>50336.72</v>
      </c>
      <c r="F125" s="11">
        <f>SUM(F123:F124)</f>
        <v>53864.72</v>
      </c>
      <c r="G125" s="11">
        <f>SUM(G123:G124)</f>
        <v>57373.668799999999</v>
      </c>
      <c r="H125" s="11">
        <f>SUM(H123:H124)</f>
        <v>59258.2088</v>
      </c>
      <c r="I125" s="11">
        <f>SUM(I123:I124)</f>
        <v>53499.2192</v>
      </c>
      <c r="J125" s="11">
        <f>SUM(J123:J124)</f>
        <v>47630.979200000009</v>
      </c>
      <c r="K125" s="11">
        <f>SUM(K123:K124)</f>
        <v>49425.320000000007</v>
      </c>
      <c r="L125" s="11">
        <f>SUM(L123:L124)</f>
        <v>52951.203200000004</v>
      </c>
      <c r="M125" s="11">
        <f>SUM(M123:M124)</f>
        <v>56225.108</v>
      </c>
    </row>
    <row r="126" spans="1:14" x14ac:dyDescent="0.25">
      <c r="A126" s="1" t="s">
        <v>169</v>
      </c>
    </row>
    <row r="127" spans="1:14" x14ac:dyDescent="0.25">
      <c r="A127" t="s">
        <v>226</v>
      </c>
      <c r="B127" s="11">
        <f>B109</f>
        <v>9784.32</v>
      </c>
      <c r="C127" s="11">
        <f t="shared" ref="C127:M127" si="117">C109</f>
        <v>9325.6799999999985</v>
      </c>
      <c r="D127" s="11">
        <f t="shared" si="117"/>
        <v>7644</v>
      </c>
      <c r="E127" s="11">
        <f t="shared" si="117"/>
        <v>7644</v>
      </c>
      <c r="F127" s="11">
        <f t="shared" si="117"/>
        <v>7644</v>
      </c>
      <c r="G127" s="11">
        <f t="shared" si="117"/>
        <v>7949.76</v>
      </c>
      <c r="H127" s="11">
        <f t="shared" si="117"/>
        <v>10701.6</v>
      </c>
      <c r="I127" s="11">
        <f t="shared" si="117"/>
        <v>10395.839999999998</v>
      </c>
      <c r="J127" s="11">
        <f t="shared" si="117"/>
        <v>7644</v>
      </c>
      <c r="K127" s="11">
        <f t="shared" si="117"/>
        <v>7644</v>
      </c>
      <c r="L127" s="11">
        <f t="shared" si="117"/>
        <v>7644</v>
      </c>
      <c r="M127" s="11">
        <f t="shared" si="117"/>
        <v>7644</v>
      </c>
    </row>
    <row r="128" spans="1:14" x14ac:dyDescent="0.25">
      <c r="A128" t="s">
        <v>227</v>
      </c>
      <c r="B128" s="11">
        <f>B118</f>
        <v>8255.52</v>
      </c>
      <c r="C128" s="11">
        <f t="shared" ref="C128:M128" si="118">C118</f>
        <v>7644</v>
      </c>
      <c r="D128" s="11">
        <f t="shared" si="118"/>
        <v>7644</v>
      </c>
      <c r="E128" s="11">
        <f t="shared" si="118"/>
        <v>7644</v>
      </c>
      <c r="F128" s="11">
        <f t="shared" si="118"/>
        <v>7644</v>
      </c>
      <c r="G128" s="11">
        <f t="shared" si="118"/>
        <v>7888.6080000000002</v>
      </c>
      <c r="H128" s="11">
        <f t="shared" si="118"/>
        <v>10701.599999999999</v>
      </c>
      <c r="I128" s="11">
        <f t="shared" si="118"/>
        <v>10456.991999999998</v>
      </c>
      <c r="J128" s="11">
        <f t="shared" si="118"/>
        <v>7644</v>
      </c>
      <c r="K128" s="11">
        <f t="shared" si="118"/>
        <v>7644</v>
      </c>
      <c r="L128" s="11">
        <f t="shared" si="118"/>
        <v>7705.152000000001</v>
      </c>
      <c r="M128" s="11">
        <f t="shared" si="118"/>
        <v>8359.728000000001</v>
      </c>
    </row>
    <row r="129" spans="1:14" x14ac:dyDescent="0.25">
      <c r="A129" t="s">
        <v>228</v>
      </c>
      <c r="B129" s="11">
        <f>B71</f>
        <v>3709.692</v>
      </c>
      <c r="C129" s="11">
        <f>C71</f>
        <v>6879.6</v>
      </c>
      <c r="D129" s="11">
        <f>D71</f>
        <v>5815.9079999999994</v>
      </c>
      <c r="E129" s="11">
        <f>E71</f>
        <v>5292</v>
      </c>
      <c r="F129" s="11">
        <f>F71</f>
        <v>5302.5839999999998</v>
      </c>
      <c r="G129" s="11">
        <f>G71</f>
        <v>5503.6799999999994</v>
      </c>
      <c r="H129" s="11">
        <f>H71</f>
        <v>6540.9120000000003</v>
      </c>
      <c r="I129" s="11">
        <f>I71</f>
        <v>7197.12</v>
      </c>
      <c r="J129" s="11">
        <f>J71</f>
        <v>6149.3039999999992</v>
      </c>
      <c r="K129" s="11">
        <f>K71</f>
        <v>5292</v>
      </c>
      <c r="L129" s="11">
        <f>L71</f>
        <v>5292</v>
      </c>
      <c r="M129" s="11">
        <f>M71</f>
        <v>5075.3999999999996</v>
      </c>
    </row>
    <row r="130" spans="1:14" x14ac:dyDescent="0.25">
      <c r="A130" t="s">
        <v>229</v>
      </c>
      <c r="B130" s="11">
        <f>B99</f>
        <v>3122.2799999999997</v>
      </c>
      <c r="C130" s="11">
        <f>C99</f>
        <v>5768.28</v>
      </c>
      <c r="D130" s="11">
        <f>D99</f>
        <v>5292</v>
      </c>
      <c r="E130" s="11">
        <f>E99</f>
        <v>5292</v>
      </c>
      <c r="F130" s="11">
        <f>F99</f>
        <v>5300.4672</v>
      </c>
      <c r="G130" s="11">
        <f>G99</f>
        <v>5482.5119999999997</v>
      </c>
      <c r="H130" s="11">
        <f>H99</f>
        <v>6523.9775999999993</v>
      </c>
      <c r="I130" s="11">
        <f>I99</f>
        <v>7218.2879999999986</v>
      </c>
      <c r="J130" s="11">
        <f>J99</f>
        <v>6168.3552</v>
      </c>
      <c r="K130" s="11">
        <f>K99</f>
        <v>5294.1167999999998</v>
      </c>
      <c r="L130" s="11">
        <f>L99</f>
        <v>5337.9431999999997</v>
      </c>
      <c r="M130" s="11">
        <f>M99</f>
        <v>5342.2031999999999</v>
      </c>
    </row>
    <row r="131" spans="1:14" x14ac:dyDescent="0.25">
      <c r="A131" t="s">
        <v>224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4" x14ac:dyDescent="0.25">
      <c r="A132" t="s">
        <v>225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4" x14ac:dyDescent="0.25">
      <c r="A133" t="s">
        <v>180</v>
      </c>
      <c r="B133" s="8">
        <v>200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</row>
    <row r="134" spans="1:14" x14ac:dyDescent="0.25">
      <c r="A134" t="s">
        <v>187</v>
      </c>
      <c r="B134" s="11">
        <f>B125-SUM(B127:B133)</f>
        <v>14328.188000000002</v>
      </c>
      <c r="C134" s="11">
        <f t="shared" ref="C134:M134" si="119">C125-SUM(C127:C133)</f>
        <v>17932.628000000004</v>
      </c>
      <c r="D134" s="11">
        <f t="shared" si="119"/>
        <v>20936.720000000005</v>
      </c>
      <c r="E134" s="11">
        <f t="shared" si="119"/>
        <v>24464.720000000001</v>
      </c>
      <c r="F134" s="11">
        <f t="shared" si="119"/>
        <v>27973.668800000003</v>
      </c>
      <c r="G134" s="11">
        <f t="shared" si="119"/>
        <v>30549.108800000002</v>
      </c>
      <c r="H134" s="11">
        <f t="shared" si="119"/>
        <v>24790.119200000001</v>
      </c>
      <c r="I134" s="11">
        <f t="shared" si="119"/>
        <v>18230.979200000009</v>
      </c>
      <c r="J134" s="11">
        <f t="shared" si="119"/>
        <v>20025.320000000007</v>
      </c>
      <c r="K134" s="11">
        <f t="shared" si="119"/>
        <v>23551.203200000007</v>
      </c>
      <c r="L134" s="11">
        <f>L125-SUM(L127:L133)</f>
        <v>26972.108</v>
      </c>
      <c r="M134" s="11">
        <f>M125-SUM(M127:M130)</f>
        <v>29803.7768</v>
      </c>
    </row>
    <row r="135" spans="1:14" x14ac:dyDescent="0.25">
      <c r="A135" s="1" t="s">
        <v>179</v>
      </c>
    </row>
    <row r="136" spans="1:14" x14ac:dyDescent="0.25">
      <c r="A136" t="s">
        <v>183</v>
      </c>
    </row>
    <row r="137" spans="1:14" x14ac:dyDescent="0.25">
      <c r="A137" t="s">
        <v>184</v>
      </c>
    </row>
    <row r="138" spans="1:14" x14ac:dyDescent="0.25">
      <c r="A138" t="s">
        <v>185</v>
      </c>
    </row>
    <row r="139" spans="1:14" x14ac:dyDescent="0.25">
      <c r="A139" t="s">
        <v>186</v>
      </c>
    </row>
    <row r="140" spans="1:14" x14ac:dyDescent="0.25">
      <c r="A140" t="s">
        <v>188</v>
      </c>
      <c r="B140" s="11">
        <f>B134</f>
        <v>14328.188000000002</v>
      </c>
      <c r="C140" s="11">
        <f t="shared" ref="C140:M140" si="120">C134</f>
        <v>17932.628000000004</v>
      </c>
      <c r="D140" s="11">
        <f t="shared" si="120"/>
        <v>20936.720000000005</v>
      </c>
      <c r="E140" s="11">
        <f t="shared" si="120"/>
        <v>24464.720000000001</v>
      </c>
      <c r="F140" s="11">
        <f t="shared" si="120"/>
        <v>27973.668800000003</v>
      </c>
      <c r="G140" s="11">
        <f t="shared" si="120"/>
        <v>30549.108800000002</v>
      </c>
      <c r="H140" s="11">
        <f t="shared" si="120"/>
        <v>24790.119200000001</v>
      </c>
      <c r="I140" s="11">
        <f t="shared" si="120"/>
        <v>18230.979200000009</v>
      </c>
      <c r="J140" s="11">
        <f t="shared" si="120"/>
        <v>20025.320000000007</v>
      </c>
      <c r="K140" s="11">
        <f t="shared" si="120"/>
        <v>23551.203200000007</v>
      </c>
      <c r="L140" s="11">
        <f t="shared" si="120"/>
        <v>26972.108</v>
      </c>
      <c r="M140" s="11">
        <f t="shared" si="120"/>
        <v>29803.7768</v>
      </c>
      <c r="N140" s="11">
        <f>M140</f>
        <v>29803.7768</v>
      </c>
    </row>
    <row r="142" spans="1:14" x14ac:dyDescent="0.25">
      <c r="N142" t="s">
        <v>230</v>
      </c>
    </row>
    <row r="143" spans="1:14" x14ac:dyDescent="0.25">
      <c r="N143" t="s">
        <v>231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</vt:lpstr>
      <vt:lpstr>costing and selling price</vt:lpstr>
      <vt:lpstr>budget Product 1 Anual budget</vt:lpstr>
      <vt:lpstr>budget Product 2 Anual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Carson Feng</dc:creator>
  <cp:lastModifiedBy>Carson Feng</cp:lastModifiedBy>
  <dcterms:created xsi:type="dcterms:W3CDTF">2015-06-05T18:17:20Z</dcterms:created>
  <dcterms:modified xsi:type="dcterms:W3CDTF">2021-08-16T02:58:34Z</dcterms:modified>
</cp:coreProperties>
</file>