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ars\Desktop\projects\financial modelling\"/>
    </mc:Choice>
  </mc:AlternateContent>
  <xr:revisionPtr revIDLastSave="0" documentId="13_ncr:1_{815BD7C2-68E2-47DA-A0E1-26031A50D8BE}" xr6:coauthVersionLast="47" xr6:coauthVersionMax="47" xr10:uidLastSave="{00000000-0000-0000-0000-000000000000}"/>
  <bookViews>
    <workbookView xWindow="-110" yWindow="-110" windowWidth="25820" windowHeight="14020" activeTab="1" xr2:uid="{18683BA4-1E66-41DD-98FA-35042779A985}"/>
  </bookViews>
  <sheets>
    <sheet name="Cover Page" sheetId="9" r:id="rId1"/>
    <sheet name="Model" sheetId="161" r:id="rId2"/>
    <sheet name="Assumptions" sheetId="4" r:id="rId3"/>
    <sheet name="Revenue Model" sheetId="3" r:id="rId4"/>
    <sheet name="3 Statement Model " sheetId="169" r:id="rId5"/>
    <sheet name="Comparable Companies" sheetId="156" r:id="rId6"/>
    <sheet name="WACC Calculation" sheetId="102" r:id="rId7"/>
    <sheet name="Beta Calculation" sheetId="127" r:id="rId8"/>
    <sheet name="Historicals" sheetId="160" r:id="rId9"/>
    <sheet name="Income Statement" sheetId="1" r:id="rId10"/>
    <sheet name="Balance Sheet" sheetId="2" r:id="rId11"/>
    <sheet name="Cash Flow Statement " sheetId="168" r:id="rId12"/>
  </sheets>
  <externalReferences>
    <externalReference r:id="rId13"/>
    <externalReference r:id="rId14"/>
  </externalReferences>
  <definedNames>
    <definedName name="Accrued_Expesne">'[1]Formula Inputs'!$D$29</definedName>
    <definedName name="AP">'[1]Formula Inputs'!$D$28</definedName>
    <definedName name="AR">'[1]Formula Inputs'!$D$15</definedName>
    <definedName name="Capital_Lease">'[1]Formula Inputs'!$D$36</definedName>
    <definedName name="cash">'[1]Formula Inputs'!$D$14</definedName>
    <definedName name="CIQWBGuid" hidden="1">"61908290-0176-4a35-b5b4-3ad655a11e6c"</definedName>
    <definedName name="CIQWBInfo" hidden="1">"{ ""CIQVersion"":""9.47.1108.4092"" }"</definedName>
    <definedName name="Company_title">'[1]Title Page'!$G$16</definedName>
    <definedName name="DTL">'[1]Formula Inputs'!$D$23</definedName>
    <definedName name="ERP">'[2]ERP by Country'!$E$32</definedName>
    <definedName name="Goodwill">'[1]Formula Inputs'!$D$21</definedName>
    <definedName name="Inv">'[1]Formula Inputs'!$D$16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"02/10/2022 01:18:37"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T_Debt">'[1]Formula Inputs'!$D$35</definedName>
    <definedName name="Other_IA">'[1]Formula Inputs'!$D$22</definedName>
    <definedName name="Period">'[1]Title Page'!$N$28</definedName>
    <definedName name="PPE">'[1]Formula Inputs'!$D$20</definedName>
    <definedName name="ST_Capital_Lease">'[1]Formula Inputs'!$D$31</definedName>
    <definedName name="ST_Debt">'[1]Formula Inputs'!$D$30</definedName>
    <definedName name="TA">'[1]Formula Inputs'!$D$25</definedName>
    <definedName name="tax_expense">'[1]Formula Inputs'!$D$10</definedName>
    <definedName name="tax_rate">Assumptions!$G$5</definedName>
    <definedName name="Ticker">'[1]Title Page'!$N$27</definedName>
    <definedName name="Total_CA">'[1]Formula Inputs'!$D$18</definedName>
    <definedName name="Total_CL">'[1]Formula Inputs'!$D$33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D19" i="102" l="1"/>
  <c r="D26" i="102"/>
  <c r="D4" i="1"/>
  <c r="E4" i="1" s="1"/>
  <c r="F4" i="1" s="1"/>
  <c r="G4" i="1" s="1"/>
  <c r="I4" i="3"/>
  <c r="J4" i="3" s="1"/>
  <c r="K4" i="3" s="1"/>
  <c r="L4" i="3" s="1"/>
  <c r="M4" i="3" s="1"/>
  <c r="E5" i="3"/>
  <c r="F5" i="3" s="1"/>
  <c r="G5" i="3" s="1"/>
  <c r="H5" i="3" s="1"/>
  <c r="I5" i="3" s="1"/>
  <c r="J5" i="3" s="1"/>
  <c r="K5" i="3" s="1"/>
  <c r="L5" i="3" s="1"/>
  <c r="M5" i="3" s="1"/>
  <c r="I9" i="3"/>
  <c r="I8" i="3" s="1"/>
  <c r="J9" i="3"/>
  <c r="K9" i="3"/>
  <c r="L9" i="3"/>
  <c r="M9" i="3"/>
  <c r="E9" i="3"/>
  <c r="F9" i="3"/>
  <c r="G9" i="3"/>
  <c r="H9" i="3"/>
  <c r="H34" i="3" s="1"/>
  <c r="I11" i="3"/>
  <c r="I10" i="3" s="1"/>
  <c r="J10" i="3" s="1"/>
  <c r="K10" i="3" s="1"/>
  <c r="L10" i="3" s="1"/>
  <c r="M10" i="3" s="1"/>
  <c r="J11" i="3"/>
  <c r="K11" i="3"/>
  <c r="L11" i="3"/>
  <c r="M11" i="3"/>
  <c r="E11" i="3"/>
  <c r="F11" i="3"/>
  <c r="G11" i="3"/>
  <c r="H11" i="3"/>
  <c r="I15" i="3"/>
  <c r="I14" i="3"/>
  <c r="J14" i="3" s="1"/>
  <c r="J15" i="3"/>
  <c r="K15" i="3"/>
  <c r="L15" i="3"/>
  <c r="M15" i="3"/>
  <c r="E15" i="3"/>
  <c r="F15" i="3"/>
  <c r="G15" i="3"/>
  <c r="G36" i="3" s="1"/>
  <c r="H15" i="3"/>
  <c r="I17" i="3"/>
  <c r="I16" i="3" s="1"/>
  <c r="J17" i="3"/>
  <c r="K17" i="3"/>
  <c r="L17" i="3"/>
  <c r="M17" i="3"/>
  <c r="E17" i="3"/>
  <c r="F17" i="3"/>
  <c r="G17" i="3"/>
  <c r="H17" i="3"/>
  <c r="E20" i="3"/>
  <c r="F20" i="3"/>
  <c r="G20" i="3"/>
  <c r="H20" i="3"/>
  <c r="I22" i="3"/>
  <c r="I21" i="3" s="1"/>
  <c r="J21" i="3" s="1"/>
  <c r="K21" i="3" s="1"/>
  <c r="L21" i="3" s="1"/>
  <c r="M21" i="3" s="1"/>
  <c r="J22" i="3"/>
  <c r="K22" i="3"/>
  <c r="L22" i="3"/>
  <c r="M22" i="3"/>
  <c r="E22" i="3"/>
  <c r="F22" i="3"/>
  <c r="G22" i="3"/>
  <c r="G32" i="3" s="1"/>
  <c r="H22" i="3"/>
  <c r="E28" i="3"/>
  <c r="F28" i="3"/>
  <c r="G28" i="3"/>
  <c r="E29" i="3"/>
  <c r="F29" i="3"/>
  <c r="G29" i="3"/>
  <c r="H29" i="3"/>
  <c r="E30" i="3"/>
  <c r="F30" i="3"/>
  <c r="H30" i="3"/>
  <c r="E31" i="3"/>
  <c r="F31" i="3"/>
  <c r="G31" i="3"/>
  <c r="H31" i="3"/>
  <c r="E32" i="3"/>
  <c r="F32" i="3"/>
  <c r="H32" i="3"/>
  <c r="E34" i="3"/>
  <c r="F34" i="3"/>
  <c r="G34" i="3"/>
  <c r="E35" i="3"/>
  <c r="F35" i="3"/>
  <c r="G35" i="3"/>
  <c r="H35" i="3"/>
  <c r="E36" i="3"/>
  <c r="F36" i="3"/>
  <c r="H36" i="3"/>
  <c r="E37" i="3"/>
  <c r="F37" i="3"/>
  <c r="G37" i="3"/>
  <c r="H37" i="3"/>
  <c r="E38" i="3"/>
  <c r="F38" i="3"/>
  <c r="G38" i="3"/>
  <c r="H38" i="3"/>
  <c r="E40" i="3"/>
  <c r="F40" i="3"/>
  <c r="G40" i="3"/>
  <c r="E41" i="3"/>
  <c r="F41" i="3"/>
  <c r="G41" i="3"/>
  <c r="H41" i="3"/>
  <c r="E42" i="3"/>
  <c r="F42" i="3"/>
  <c r="H42" i="3"/>
  <c r="E43" i="3"/>
  <c r="F43" i="3"/>
  <c r="G43" i="3"/>
  <c r="H43" i="3"/>
  <c r="E44" i="3"/>
  <c r="F44" i="3"/>
  <c r="G44" i="3"/>
  <c r="H44" i="3"/>
  <c r="D5" i="127"/>
  <c r="E5" i="127"/>
  <c r="D6" i="127"/>
  <c r="E6" i="127"/>
  <c r="D7" i="127"/>
  <c r="E7" i="127"/>
  <c r="E8" i="127"/>
  <c r="D8" i="127"/>
  <c r="E9" i="127"/>
  <c r="H8" i="127" s="1"/>
  <c r="D9" i="127"/>
  <c r="E10" i="127"/>
  <c r="E11" i="127"/>
  <c r="E12" i="127"/>
  <c r="E13" i="127"/>
  <c r="E14" i="127"/>
  <c r="E15" i="127"/>
  <c r="E16" i="127"/>
  <c r="E17" i="127"/>
  <c r="E18" i="127"/>
  <c r="E19" i="127"/>
  <c r="E20" i="127"/>
  <c r="E21" i="127"/>
  <c r="E22" i="127"/>
  <c r="E23" i="127"/>
  <c r="E24" i="127"/>
  <c r="E25" i="127"/>
  <c r="E26" i="127"/>
  <c r="E27" i="127"/>
  <c r="E28" i="127"/>
  <c r="E29" i="127"/>
  <c r="E30" i="127"/>
  <c r="E31" i="127"/>
  <c r="E32" i="127"/>
  <c r="E33" i="127"/>
  <c r="E34" i="127"/>
  <c r="E35" i="127"/>
  <c r="E36" i="127"/>
  <c r="E37" i="127"/>
  <c r="E38" i="127"/>
  <c r="E39" i="127"/>
  <c r="E40" i="127"/>
  <c r="E41" i="127"/>
  <c r="E42" i="127"/>
  <c r="E43" i="127"/>
  <c r="E44" i="127"/>
  <c r="E45" i="127"/>
  <c r="E46" i="127"/>
  <c r="E47" i="127"/>
  <c r="E48" i="127"/>
  <c r="E49" i="127"/>
  <c r="E50" i="127"/>
  <c r="E51" i="127"/>
  <c r="E52" i="127"/>
  <c r="E53" i="127"/>
  <c r="E54" i="127"/>
  <c r="E55" i="127"/>
  <c r="E56" i="127"/>
  <c r="E57" i="127"/>
  <c r="E58" i="127"/>
  <c r="E59" i="127"/>
  <c r="E60" i="127"/>
  <c r="E61" i="127"/>
  <c r="E62" i="127"/>
  <c r="E63" i="127"/>
  <c r="E64" i="127"/>
  <c r="D10" i="127"/>
  <c r="D11" i="127"/>
  <c r="D12" i="127"/>
  <c r="D13" i="127"/>
  <c r="D14" i="127"/>
  <c r="D15" i="127"/>
  <c r="D16" i="127"/>
  <c r="D17" i="127"/>
  <c r="D18" i="127"/>
  <c r="D19" i="127"/>
  <c r="D20" i="127"/>
  <c r="D21" i="127"/>
  <c r="D22" i="127"/>
  <c r="D23" i="127"/>
  <c r="D24" i="127"/>
  <c r="D25" i="127"/>
  <c r="D26" i="127"/>
  <c r="D27" i="127"/>
  <c r="D28" i="127"/>
  <c r="D29" i="127"/>
  <c r="D30" i="127"/>
  <c r="D31" i="127"/>
  <c r="D32" i="127"/>
  <c r="D33" i="127"/>
  <c r="D34" i="127"/>
  <c r="D35" i="127"/>
  <c r="D36" i="127"/>
  <c r="D37" i="127"/>
  <c r="D38" i="127"/>
  <c r="D39" i="127"/>
  <c r="D40" i="127"/>
  <c r="D41" i="127"/>
  <c r="D42" i="127"/>
  <c r="D43" i="127"/>
  <c r="D44" i="127"/>
  <c r="D45" i="127"/>
  <c r="D46" i="127"/>
  <c r="D47" i="127"/>
  <c r="D48" i="127"/>
  <c r="D49" i="127"/>
  <c r="D50" i="127"/>
  <c r="D51" i="127"/>
  <c r="D52" i="127"/>
  <c r="D53" i="127"/>
  <c r="D54" i="127"/>
  <c r="D55" i="127"/>
  <c r="D56" i="127"/>
  <c r="D57" i="127"/>
  <c r="D58" i="127"/>
  <c r="D59" i="127"/>
  <c r="D60" i="127"/>
  <c r="D61" i="127"/>
  <c r="D62" i="127"/>
  <c r="D63" i="127"/>
  <c r="D64" i="127"/>
  <c r="H7" i="127"/>
  <c r="D6" i="102"/>
  <c r="D7" i="102"/>
  <c r="D8" i="102"/>
  <c r="D10" i="102"/>
  <c r="D11" i="102"/>
  <c r="D12" i="102"/>
  <c r="D13" i="102" s="1"/>
  <c r="D22" i="102"/>
  <c r="D24" i="102" s="1"/>
  <c r="D23" i="102"/>
  <c r="L7" i="156"/>
  <c r="L14" i="156" s="1"/>
  <c r="C26" i="156" s="1"/>
  <c r="C43" i="156" s="1"/>
  <c r="C56" i="156" s="1"/>
  <c r="G56" i="156" s="1"/>
  <c r="M7" i="156"/>
  <c r="N7" i="156"/>
  <c r="P7" i="156"/>
  <c r="L8" i="156"/>
  <c r="M8" i="156"/>
  <c r="N8" i="156"/>
  <c r="P8" i="156"/>
  <c r="P15" i="156" s="1"/>
  <c r="F42" i="156" s="1"/>
  <c r="F55" i="156" s="1"/>
  <c r="L9" i="156"/>
  <c r="M9" i="156"/>
  <c r="N9" i="156"/>
  <c r="P9" i="156"/>
  <c r="L10" i="156"/>
  <c r="M10" i="156"/>
  <c r="N10" i="156"/>
  <c r="P10" i="156"/>
  <c r="L11" i="156"/>
  <c r="M11" i="156"/>
  <c r="N11" i="156"/>
  <c r="P11" i="156"/>
  <c r="L12" i="156"/>
  <c r="M12" i="156"/>
  <c r="N12" i="156"/>
  <c r="P12" i="156"/>
  <c r="L13" i="156"/>
  <c r="M13" i="156"/>
  <c r="N13" i="156"/>
  <c r="P13" i="156"/>
  <c r="M14" i="156"/>
  <c r="N14" i="156"/>
  <c r="P14" i="156"/>
  <c r="F43" i="156" s="1"/>
  <c r="F56" i="156" s="1"/>
  <c r="L15" i="156"/>
  <c r="M15" i="156"/>
  <c r="N15" i="156"/>
  <c r="M16" i="156"/>
  <c r="N16" i="156"/>
  <c r="P16" i="156"/>
  <c r="F44" i="156" s="1"/>
  <c r="F57" i="156" s="1"/>
  <c r="L17" i="156"/>
  <c r="C24" i="156" s="1"/>
  <c r="C41" i="156" s="1"/>
  <c r="C54" i="156" s="1"/>
  <c r="M17" i="156"/>
  <c r="D24" i="156" s="1"/>
  <c r="D41" i="156" s="1"/>
  <c r="D54" i="156" s="1"/>
  <c r="N17" i="156"/>
  <c r="E24" i="156" s="1"/>
  <c r="E41" i="156" s="1"/>
  <c r="E54" i="156" s="1"/>
  <c r="C25" i="156"/>
  <c r="C42" i="156" s="1"/>
  <c r="C55" i="156" s="1"/>
  <c r="D25" i="156"/>
  <c r="D42" i="156" s="1"/>
  <c r="D55" i="156" s="1"/>
  <c r="E25" i="156"/>
  <c r="E42" i="156" s="1"/>
  <c r="E55" i="156" s="1"/>
  <c r="D26" i="156"/>
  <c r="E26" i="156"/>
  <c r="D27" i="156"/>
  <c r="E27" i="156"/>
  <c r="E44" i="156" s="1"/>
  <c r="E57" i="156" s="1"/>
  <c r="D43" i="156"/>
  <c r="E43" i="156"/>
  <c r="D44" i="156"/>
  <c r="D56" i="156"/>
  <c r="E56" i="156"/>
  <c r="D57" i="156"/>
  <c r="C3" i="169"/>
  <c r="E6" i="169"/>
  <c r="E7" i="169" s="1"/>
  <c r="F6" i="169"/>
  <c r="F7" i="169" s="1"/>
  <c r="G6" i="169"/>
  <c r="H6" i="169"/>
  <c r="I6" i="169"/>
  <c r="G7" i="169"/>
  <c r="H7" i="169"/>
  <c r="I7" i="169"/>
  <c r="E10" i="169"/>
  <c r="E12" i="169" s="1"/>
  <c r="F10" i="169"/>
  <c r="F12" i="169" s="1"/>
  <c r="G10" i="169"/>
  <c r="H10" i="169"/>
  <c r="I10" i="169"/>
  <c r="G12" i="169"/>
  <c r="H12" i="169"/>
  <c r="H19" i="169" s="1"/>
  <c r="I12" i="169"/>
  <c r="I14" i="169" s="1"/>
  <c r="I76" i="169" s="1"/>
  <c r="I82" i="169" s="1"/>
  <c r="I108" i="169" s="1"/>
  <c r="G14" i="169"/>
  <c r="E16" i="169"/>
  <c r="F16" i="169"/>
  <c r="G16" i="169"/>
  <c r="H16" i="169"/>
  <c r="I16" i="169"/>
  <c r="E17" i="169"/>
  <c r="F17" i="169"/>
  <c r="G17" i="169"/>
  <c r="H17" i="169"/>
  <c r="I17" i="169"/>
  <c r="E18" i="169"/>
  <c r="F18" i="169"/>
  <c r="G18" i="169"/>
  <c r="H18" i="169"/>
  <c r="I18" i="169"/>
  <c r="G19" i="169"/>
  <c r="I19" i="169"/>
  <c r="J109" i="169"/>
  <c r="J26" i="169"/>
  <c r="K26" i="169" s="1"/>
  <c r="L26" i="169" s="1"/>
  <c r="M26" i="169" s="1"/>
  <c r="N26" i="169" s="1"/>
  <c r="J28" i="169"/>
  <c r="J98" i="169"/>
  <c r="J99" i="169"/>
  <c r="J100" i="169"/>
  <c r="K28" i="169"/>
  <c r="L28" i="169" s="1"/>
  <c r="M28" i="169" s="1"/>
  <c r="N28" i="169" s="1"/>
  <c r="K98" i="169"/>
  <c r="K100" i="169"/>
  <c r="L100" i="169" s="1"/>
  <c r="M100" i="169" s="1"/>
  <c r="N100" i="169" s="1"/>
  <c r="L43" i="169"/>
  <c r="L98" i="169"/>
  <c r="M98" i="169" s="1"/>
  <c r="N98" i="169" s="1"/>
  <c r="I118" i="169"/>
  <c r="J113" i="169" s="1"/>
  <c r="M121" i="169"/>
  <c r="J33" i="169"/>
  <c r="K33" i="169"/>
  <c r="L33" i="169"/>
  <c r="M33" i="169" s="1"/>
  <c r="N33" i="169" s="1"/>
  <c r="J34" i="169"/>
  <c r="K34" i="169"/>
  <c r="L34" i="169" s="1"/>
  <c r="M34" i="169" s="1"/>
  <c r="N34" i="169" s="1"/>
  <c r="J35" i="169"/>
  <c r="K35" i="169" s="1"/>
  <c r="L35" i="169" s="1"/>
  <c r="M35" i="169" s="1"/>
  <c r="N35" i="169"/>
  <c r="J36" i="169"/>
  <c r="K36" i="169" s="1"/>
  <c r="L36" i="169" s="1"/>
  <c r="M36" i="169" s="1"/>
  <c r="N36" i="169" s="1"/>
  <c r="J37" i="169"/>
  <c r="K37" i="169"/>
  <c r="L37" i="169"/>
  <c r="M37" i="169" s="1"/>
  <c r="N37" i="169" s="1"/>
  <c r="E42" i="169"/>
  <c r="F42" i="169"/>
  <c r="G42" i="169"/>
  <c r="H42" i="169"/>
  <c r="I42" i="169"/>
  <c r="E43" i="169"/>
  <c r="F43" i="169"/>
  <c r="G43" i="169"/>
  <c r="H43" i="169"/>
  <c r="I43" i="169"/>
  <c r="J46" i="169"/>
  <c r="K46" i="169"/>
  <c r="J48" i="169"/>
  <c r="K48" i="169" s="1"/>
  <c r="L48" i="169" s="1"/>
  <c r="M48" i="169" s="1"/>
  <c r="N48" i="169"/>
  <c r="L49" i="169"/>
  <c r="M49" i="169" s="1"/>
  <c r="N49" i="169" s="1"/>
  <c r="J54" i="169"/>
  <c r="J55" i="169"/>
  <c r="K55" i="169"/>
  <c r="L55" i="169"/>
  <c r="J57" i="169"/>
  <c r="K57" i="169" s="1"/>
  <c r="L57" i="169" s="1"/>
  <c r="M57" i="169" s="1"/>
  <c r="N57" i="169"/>
  <c r="E59" i="169"/>
  <c r="F59" i="169"/>
  <c r="G59" i="169"/>
  <c r="H59" i="169"/>
  <c r="I59" i="169"/>
  <c r="J62" i="169"/>
  <c r="K62" i="169" s="1"/>
  <c r="L62" i="169"/>
  <c r="J67" i="169"/>
  <c r="K67" i="169"/>
  <c r="L67" i="169"/>
  <c r="M67" i="169" s="1"/>
  <c r="N67" i="169" s="1"/>
  <c r="E72" i="169"/>
  <c r="F72" i="169"/>
  <c r="G72" i="169"/>
  <c r="H72" i="169"/>
  <c r="I72" i="169"/>
  <c r="G76" i="169"/>
  <c r="E77" i="169"/>
  <c r="F77" i="169"/>
  <c r="G77" i="169"/>
  <c r="H77" i="169"/>
  <c r="I77" i="169"/>
  <c r="G82" i="169"/>
  <c r="E84" i="169"/>
  <c r="F84" i="169"/>
  <c r="G84" i="169"/>
  <c r="H84" i="169"/>
  <c r="I84" i="169"/>
  <c r="E89" i="169"/>
  <c r="E93" i="169" s="1"/>
  <c r="F89" i="169"/>
  <c r="F90" i="169"/>
  <c r="F91" i="169"/>
  <c r="E92" i="169"/>
  <c r="G93" i="169"/>
  <c r="H93" i="169"/>
  <c r="I93" i="169"/>
  <c r="E96" i="169"/>
  <c r="E104" i="169" s="1"/>
  <c r="F96" i="169"/>
  <c r="I96" i="169"/>
  <c r="G97" i="169"/>
  <c r="G104" i="169" s="1"/>
  <c r="G108" i="169" s="1"/>
  <c r="H97" i="169"/>
  <c r="H104" i="169" s="1"/>
  <c r="I97" i="169"/>
  <c r="I104" i="169" s="1"/>
  <c r="F104" i="169"/>
  <c r="E118" i="169"/>
  <c r="F113" i="169" s="1"/>
  <c r="F118" i="169"/>
  <c r="G113" i="169"/>
  <c r="G118" i="169"/>
  <c r="H113" i="169"/>
  <c r="H115" i="169" s="1"/>
  <c r="H117" i="169" s="1"/>
  <c r="H118" i="169"/>
  <c r="I113" i="169"/>
  <c r="I115" i="169" s="1"/>
  <c r="I117" i="169" s="1"/>
  <c r="I121" i="169" s="1"/>
  <c r="E114" i="169"/>
  <c r="G114" i="169"/>
  <c r="H114" i="169"/>
  <c r="H120" i="169" s="1"/>
  <c r="I114" i="169"/>
  <c r="E115" i="169"/>
  <c r="G115" i="169"/>
  <c r="G117" i="169" s="1"/>
  <c r="G121" i="169" s="1"/>
  <c r="E120" i="169"/>
  <c r="G120" i="169"/>
  <c r="I120" i="169"/>
  <c r="H121" i="169"/>
  <c r="D126" i="169"/>
  <c r="E126" i="169" s="1"/>
  <c r="F126" i="169" s="1"/>
  <c r="G126" i="169" s="1"/>
  <c r="D127" i="169"/>
  <c r="E127" i="169" s="1"/>
  <c r="F127" i="169" s="1"/>
  <c r="G127" i="169" s="1"/>
  <c r="J133" i="169"/>
  <c r="C156" i="169"/>
  <c r="C157" i="169"/>
  <c r="C158" i="169"/>
  <c r="C174" i="169"/>
  <c r="C173" i="169" s="1"/>
  <c r="C176" i="169"/>
  <c r="C177" i="169" s="1"/>
  <c r="J5" i="4"/>
  <c r="D14" i="4"/>
  <c r="C15" i="4"/>
  <c r="J17" i="169" s="1"/>
  <c r="D28" i="4"/>
  <c r="E28" i="4" s="1"/>
  <c r="D15" i="4"/>
  <c r="K17" i="169" s="1"/>
  <c r="C16" i="4"/>
  <c r="J18" i="169" s="1"/>
  <c r="D16" i="4"/>
  <c r="K18" i="169" s="1"/>
  <c r="E16" i="4"/>
  <c r="L18" i="169" s="1"/>
  <c r="F16" i="4"/>
  <c r="M18" i="169" s="1"/>
  <c r="G16" i="4"/>
  <c r="N18" i="169" s="1"/>
  <c r="C17" i="4"/>
  <c r="J19" i="169" s="1"/>
  <c r="D17" i="4"/>
  <c r="K19" i="169" s="1"/>
  <c r="E17" i="4"/>
  <c r="L19" i="169" s="1"/>
  <c r="F17" i="4"/>
  <c r="M19" i="169" s="1"/>
  <c r="G17" i="4"/>
  <c r="N19" i="169" s="1"/>
  <c r="C18" i="4"/>
  <c r="J42" i="169" s="1"/>
  <c r="D18" i="4"/>
  <c r="K42" i="169" s="1"/>
  <c r="E18" i="4"/>
  <c r="L42" i="169" s="1"/>
  <c r="F18" i="4"/>
  <c r="M42" i="169" s="1"/>
  <c r="G18" i="4"/>
  <c r="N42" i="169" s="1"/>
  <c r="C19" i="4"/>
  <c r="J43" i="169" s="1"/>
  <c r="D19" i="4"/>
  <c r="K43" i="169" s="1"/>
  <c r="E19" i="4"/>
  <c r="F19" i="4"/>
  <c r="M43" i="169" s="1"/>
  <c r="G19" i="4"/>
  <c r="N43" i="169" s="1"/>
  <c r="C20" i="4"/>
  <c r="J59" i="169" s="1"/>
  <c r="D20" i="4"/>
  <c r="K59" i="169" s="1"/>
  <c r="E20" i="4"/>
  <c r="L59" i="169" s="1"/>
  <c r="F20" i="4"/>
  <c r="M59" i="169" s="1"/>
  <c r="G20" i="4"/>
  <c r="N59" i="169" s="1"/>
  <c r="C21" i="4"/>
  <c r="J84" i="169" s="1"/>
  <c r="D21" i="4"/>
  <c r="K84" i="169" s="1"/>
  <c r="E21" i="4"/>
  <c r="L84" i="169" s="1"/>
  <c r="F21" i="4"/>
  <c r="M84" i="169" s="1"/>
  <c r="G21" i="4"/>
  <c r="N84" i="169" s="1"/>
  <c r="C22" i="4"/>
  <c r="J120" i="169" s="1"/>
  <c r="D22" i="4"/>
  <c r="K120" i="169" s="1"/>
  <c r="E22" i="4"/>
  <c r="L120" i="169" s="1"/>
  <c r="F22" i="4"/>
  <c r="M120" i="169" s="1"/>
  <c r="G22" i="4"/>
  <c r="N120" i="169" s="1"/>
  <c r="C23" i="4"/>
  <c r="J121" i="169" s="1"/>
  <c r="D23" i="4"/>
  <c r="K121" i="169" s="1"/>
  <c r="E23" i="4"/>
  <c r="L121" i="169" s="1"/>
  <c r="F23" i="4"/>
  <c r="G23" i="4"/>
  <c r="N121" i="169" s="1"/>
  <c r="D26" i="4"/>
  <c r="D27" i="4"/>
  <c r="E27" i="4" s="1"/>
  <c r="F27" i="4" s="1"/>
  <c r="G27" i="4" s="1"/>
  <c r="D29" i="4"/>
  <c r="E29" i="4"/>
  <c r="F29" i="4"/>
  <c r="G29" i="4" s="1"/>
  <c r="D31" i="4"/>
  <c r="D36" i="4"/>
  <c r="D41" i="4"/>
  <c r="D46" i="4"/>
  <c r="D51" i="4"/>
  <c r="D56" i="4"/>
  <c r="D61" i="4"/>
  <c r="D66" i="4"/>
  <c r="C16" i="9"/>
  <c r="C44" i="102" l="1"/>
  <c r="C45" i="102" s="1"/>
  <c r="C46" i="102" s="1"/>
  <c r="J16" i="3"/>
  <c r="K16" i="3" s="1"/>
  <c r="L16" i="3" s="1"/>
  <c r="M16" i="3" s="1"/>
  <c r="I18" i="3"/>
  <c r="K14" i="3"/>
  <c r="J18" i="3"/>
  <c r="M62" i="169"/>
  <c r="F14" i="169"/>
  <c r="F76" i="169" s="1"/>
  <c r="F82" i="169" s="1"/>
  <c r="F108" i="169" s="1"/>
  <c r="F19" i="169"/>
  <c r="J104" i="169"/>
  <c r="K99" i="169"/>
  <c r="J63" i="169"/>
  <c r="E14" i="169"/>
  <c r="E76" i="169" s="1"/>
  <c r="E82" i="169" s="1"/>
  <c r="E108" i="169" s="1"/>
  <c r="E19" i="169"/>
  <c r="J8" i="3"/>
  <c r="I12" i="3"/>
  <c r="L46" i="169"/>
  <c r="E15" i="4"/>
  <c r="L17" i="169" s="1"/>
  <c r="F28" i="4"/>
  <c r="F114" i="169"/>
  <c r="F120" i="169" s="1"/>
  <c r="F93" i="169"/>
  <c r="D25" i="102"/>
  <c r="H40" i="3"/>
  <c r="H28" i="3"/>
  <c r="G42" i="3"/>
  <c r="G30" i="3"/>
  <c r="M55" i="169"/>
  <c r="L16" i="156"/>
  <c r="C27" i="156" s="1"/>
  <c r="C44" i="156" s="1"/>
  <c r="C57" i="156" s="1"/>
  <c r="H14" i="169"/>
  <c r="H76" i="169" s="1"/>
  <c r="H82" i="169" s="1"/>
  <c r="H108" i="169" s="1"/>
  <c r="P17" i="156"/>
  <c r="F41" i="156" s="1"/>
  <c r="F54" i="156" s="1"/>
  <c r="E117" i="169"/>
  <c r="E121" i="169" s="1"/>
  <c r="D17" i="102"/>
  <c r="H11" i="127"/>
  <c r="C43" i="102" l="1"/>
  <c r="C42" i="102" s="1"/>
  <c r="K104" i="169"/>
  <c r="L99" i="169"/>
  <c r="N62" i="169"/>
  <c r="N55" i="169"/>
  <c r="M46" i="169"/>
  <c r="K63" i="169"/>
  <c r="I25" i="3"/>
  <c r="J6" i="169" s="1"/>
  <c r="K18" i="3"/>
  <c r="L14" i="3"/>
  <c r="D29" i="102"/>
  <c r="F41" i="102"/>
  <c r="J12" i="3"/>
  <c r="J25" i="3" s="1"/>
  <c r="K6" i="169" s="1"/>
  <c r="K8" i="3"/>
  <c r="F115" i="169"/>
  <c r="F117" i="169" s="1"/>
  <c r="F121" i="169" s="1"/>
  <c r="F15" i="4"/>
  <c r="M17" i="169" s="1"/>
  <c r="G28" i="4"/>
  <c r="G15" i="4" s="1"/>
  <c r="N17" i="169" s="1"/>
  <c r="E41" i="102" l="1"/>
  <c r="D41" i="102" s="1"/>
  <c r="G41" i="102"/>
  <c r="H41" i="102" s="1"/>
  <c r="N46" i="169"/>
  <c r="L18" i="3"/>
  <c r="M14" i="3"/>
  <c r="M18" i="3" s="1"/>
  <c r="K16" i="169"/>
  <c r="D130" i="169"/>
  <c r="D132" i="169" s="1"/>
  <c r="K9" i="169"/>
  <c r="K8" i="169"/>
  <c r="K10" i="169" s="1"/>
  <c r="K12" i="169" s="1"/>
  <c r="K7" i="169"/>
  <c r="D131" i="169" s="1"/>
  <c r="K47" i="169"/>
  <c r="K50" i="169" s="1"/>
  <c r="K56" i="169" s="1"/>
  <c r="K25" i="169"/>
  <c r="K27" i="169"/>
  <c r="K114" i="169"/>
  <c r="K78" i="169"/>
  <c r="C141" i="169"/>
  <c r="C41" i="102"/>
  <c r="J135" i="169"/>
  <c r="D141" i="169"/>
  <c r="E141" i="169"/>
  <c r="F141" i="169"/>
  <c r="F172" i="169"/>
  <c r="J127" i="169"/>
  <c r="G141" i="169"/>
  <c r="J16" i="169"/>
  <c r="J9" i="169"/>
  <c r="J8" i="169"/>
  <c r="J10" i="169" s="1"/>
  <c r="J12" i="169" s="1"/>
  <c r="J7" i="169"/>
  <c r="C131" i="169" s="1"/>
  <c r="C130" i="169"/>
  <c r="J78" i="169"/>
  <c r="J27" i="169"/>
  <c r="J47" i="169"/>
  <c r="J50" i="169" s="1"/>
  <c r="J56" i="169" s="1"/>
  <c r="J114" i="169"/>
  <c r="J25" i="169"/>
  <c r="J80" i="169" s="1"/>
  <c r="C139" i="169" s="1"/>
  <c r="M99" i="169"/>
  <c r="L104" i="169"/>
  <c r="K12" i="3"/>
  <c r="K25" i="3" s="1"/>
  <c r="L6" i="169" s="1"/>
  <c r="L8" i="3"/>
  <c r="L63" i="169"/>
  <c r="C132" i="169" l="1"/>
  <c r="E172" i="169"/>
  <c r="D172" i="169" s="1"/>
  <c r="G172" i="169"/>
  <c r="H172" i="169" s="1"/>
  <c r="K89" i="169"/>
  <c r="K117" i="169"/>
  <c r="L8" i="169"/>
  <c r="L10" i="169" s="1"/>
  <c r="L12" i="169" s="1"/>
  <c r="L7" i="169"/>
  <c r="E131" i="169" s="1"/>
  <c r="L16" i="169"/>
  <c r="E130" i="169"/>
  <c r="L9" i="169"/>
  <c r="L25" i="169"/>
  <c r="L80" i="169" s="1"/>
  <c r="E139" i="169" s="1"/>
  <c r="L114" i="169"/>
  <c r="L27" i="169"/>
  <c r="L47" i="169"/>
  <c r="L50" i="169" s="1"/>
  <c r="L56" i="169" s="1"/>
  <c r="L78" i="169"/>
  <c r="J13" i="169"/>
  <c r="J14" i="169"/>
  <c r="K80" i="169"/>
  <c r="D139" i="169" s="1"/>
  <c r="M104" i="169"/>
  <c r="N99" i="169"/>
  <c r="N104" i="169" s="1"/>
  <c r="C137" i="169"/>
  <c r="C133" i="169"/>
  <c r="J77" i="169"/>
  <c r="J89" i="169"/>
  <c r="J115" i="169"/>
  <c r="J117" i="169"/>
  <c r="M63" i="169"/>
  <c r="K13" i="169"/>
  <c r="K14" i="169"/>
  <c r="K76" i="169" s="1"/>
  <c r="K82" i="169" s="1"/>
  <c r="L12" i="3"/>
  <c r="L25" i="3" s="1"/>
  <c r="M6" i="169" s="1"/>
  <c r="M8" i="3"/>
  <c r="M12" i="3" s="1"/>
  <c r="M25" i="3" s="1"/>
  <c r="N6" i="169" s="1"/>
  <c r="D137" i="169"/>
  <c r="D133" i="169"/>
  <c r="D134" i="169" s="1"/>
  <c r="K77" i="169"/>
  <c r="D135" i="169" l="1"/>
  <c r="D136" i="169" s="1"/>
  <c r="D140" i="169" s="1"/>
  <c r="D142" i="169" s="1"/>
  <c r="L13" i="169"/>
  <c r="L14" i="169" s="1"/>
  <c r="L76" i="169" s="1"/>
  <c r="L82" i="169" s="1"/>
  <c r="N63" i="169"/>
  <c r="L89" i="169"/>
  <c r="L117" i="169"/>
  <c r="D138" i="169"/>
  <c r="K93" i="169"/>
  <c r="K108" i="169" s="1"/>
  <c r="L77" i="169"/>
  <c r="E137" i="169"/>
  <c r="E133" i="169"/>
  <c r="N9" i="169"/>
  <c r="N7" i="169"/>
  <c r="G131" i="169" s="1"/>
  <c r="N16" i="169"/>
  <c r="G130" i="169"/>
  <c r="N8" i="169"/>
  <c r="N78" i="169"/>
  <c r="N27" i="169"/>
  <c r="N47" i="169"/>
  <c r="N50" i="169" s="1"/>
  <c r="N56" i="169" s="1"/>
  <c r="N114" i="169"/>
  <c r="N25" i="169"/>
  <c r="N80" i="169" s="1"/>
  <c r="G139" i="169" s="1"/>
  <c r="J118" i="169"/>
  <c r="J76" i="169"/>
  <c r="J82" i="169" s="1"/>
  <c r="J108" i="169" s="1"/>
  <c r="J110" i="169" s="1"/>
  <c r="J24" i="169" s="1"/>
  <c r="J64" i="169"/>
  <c r="E132" i="169"/>
  <c r="C134" i="169"/>
  <c r="M16" i="169"/>
  <c r="F130" i="169"/>
  <c r="M8" i="169"/>
  <c r="M10" i="169" s="1"/>
  <c r="M12" i="169" s="1"/>
  <c r="M9" i="169"/>
  <c r="M25" i="169"/>
  <c r="M78" i="169"/>
  <c r="M47" i="169"/>
  <c r="M50" i="169" s="1"/>
  <c r="M56" i="169" s="1"/>
  <c r="M114" i="169"/>
  <c r="M27" i="169"/>
  <c r="C138" i="169"/>
  <c r="J93" i="169"/>
  <c r="L93" i="169" l="1"/>
  <c r="L108" i="169" s="1"/>
  <c r="E138" i="169"/>
  <c r="M13" i="169"/>
  <c r="M14" i="169" s="1"/>
  <c r="M76" i="169" s="1"/>
  <c r="M82" i="169" s="1"/>
  <c r="C135" i="169"/>
  <c r="C136" i="169" s="1"/>
  <c r="C140" i="169" s="1"/>
  <c r="C142" i="169" s="1"/>
  <c r="F132" i="169"/>
  <c r="F134" i="169" s="1"/>
  <c r="M89" i="169"/>
  <c r="M117" i="169"/>
  <c r="G133" i="169"/>
  <c r="G137" i="169"/>
  <c r="N77" i="169"/>
  <c r="N10" i="169"/>
  <c r="N12" i="169" s="1"/>
  <c r="K109" i="169"/>
  <c r="K110" i="169" s="1"/>
  <c r="K24" i="169" s="1"/>
  <c r="J29" i="169"/>
  <c r="J40" i="169" s="1"/>
  <c r="G132" i="169"/>
  <c r="N89" i="169"/>
  <c r="N117" i="169"/>
  <c r="E134" i="169"/>
  <c r="M80" i="169"/>
  <c r="F139" i="169" s="1"/>
  <c r="K64" i="169"/>
  <c r="J66" i="169"/>
  <c r="J68" i="169" s="1"/>
  <c r="J70" i="169" s="1"/>
  <c r="M77" i="169"/>
  <c r="F137" i="169"/>
  <c r="F133" i="169"/>
  <c r="M7" i="169"/>
  <c r="F131" i="169" s="1"/>
  <c r="J32" i="169"/>
  <c r="J38" i="169" s="1"/>
  <c r="K113" i="169"/>
  <c r="K115" i="169" s="1"/>
  <c r="K118" i="169" s="1"/>
  <c r="F135" i="169" l="1"/>
  <c r="F136" i="169"/>
  <c r="K29" i="169"/>
  <c r="K40" i="169" s="1"/>
  <c r="L109" i="169"/>
  <c r="L110" i="169" s="1"/>
  <c r="L24" i="169" s="1"/>
  <c r="J72" i="169"/>
  <c r="E135" i="169"/>
  <c r="E136" i="169" s="1"/>
  <c r="E140" i="169" s="1"/>
  <c r="E142" i="169" s="1"/>
  <c r="K32" i="169"/>
  <c r="K38" i="169" s="1"/>
  <c r="L113" i="169"/>
  <c r="L115" i="169" s="1"/>
  <c r="L118" i="169" s="1"/>
  <c r="L64" i="169"/>
  <c r="K66" i="169"/>
  <c r="K68" i="169" s="1"/>
  <c r="K70" i="169" s="1"/>
  <c r="N13" i="169"/>
  <c r="N14" i="169" s="1"/>
  <c r="N76" i="169" s="1"/>
  <c r="N82" i="169" s="1"/>
  <c r="N108" i="169" s="1"/>
  <c r="N93" i="169"/>
  <c r="G138" i="169"/>
  <c r="G134" i="169"/>
  <c r="J134" i="169"/>
  <c r="J136" i="169" s="1"/>
  <c r="J138" i="169" s="1"/>
  <c r="J142" i="169" s="1"/>
  <c r="M93" i="169"/>
  <c r="M108" i="169" s="1"/>
  <c r="F138" i="169"/>
  <c r="M109" i="169" l="1"/>
  <c r="M110" i="169" s="1"/>
  <c r="M24" i="169" s="1"/>
  <c r="L29" i="169"/>
  <c r="F140" i="169"/>
  <c r="F142" i="169" s="1"/>
  <c r="K72" i="169"/>
  <c r="M64" i="169"/>
  <c r="L66" i="169"/>
  <c r="L68" i="169" s="1"/>
  <c r="L70" i="169" s="1"/>
  <c r="L32" i="169"/>
  <c r="L38" i="169" s="1"/>
  <c r="M113" i="169"/>
  <c r="M115" i="169" s="1"/>
  <c r="M118" i="169" s="1"/>
  <c r="G135" i="169"/>
  <c r="G136" i="169" s="1"/>
  <c r="G140" i="169" s="1"/>
  <c r="J126" i="169" l="1"/>
  <c r="J128" i="169" s="1"/>
  <c r="J130" i="169" s="1"/>
  <c r="J141" i="169" s="1"/>
  <c r="J143" i="169" s="1"/>
  <c r="C150" i="169" s="1"/>
  <c r="G142" i="169"/>
  <c r="C148" i="169" s="1"/>
  <c r="L40" i="169"/>
  <c r="L72" i="169" s="1"/>
  <c r="N64" i="169"/>
  <c r="N66" i="169" s="1"/>
  <c r="N68" i="169" s="1"/>
  <c r="N70" i="169" s="1"/>
  <c r="M66" i="169"/>
  <c r="M68" i="169" s="1"/>
  <c r="M70" i="169" s="1"/>
  <c r="M29" i="169"/>
  <c r="N109" i="169"/>
  <c r="N110" i="169" s="1"/>
  <c r="N24" i="169" s="1"/>
  <c r="N29" i="169" s="1"/>
  <c r="N40" i="169" s="1"/>
  <c r="N72" i="169" s="1"/>
  <c r="M32" i="169"/>
  <c r="M38" i="169" s="1"/>
  <c r="N113" i="169"/>
  <c r="N115" i="169" s="1"/>
  <c r="N118" i="169" s="1"/>
  <c r="N32" i="169" s="1"/>
  <c r="N38" i="169" s="1"/>
  <c r="C152" i="169" l="1"/>
  <c r="C155" i="169" s="1"/>
  <c r="C160" i="169" s="1"/>
  <c r="C163" i="169" s="1"/>
  <c r="M40" i="169"/>
  <c r="M72" i="169" s="1"/>
  <c r="C149" i="169" l="1"/>
  <c r="C151" i="169"/>
  <c r="C165" i="169"/>
  <c r="C14" i="9"/>
  <c r="C167" i="169" l="1"/>
  <c r="C15" i="9"/>
  <c r="C17" i="9" s="1"/>
  <c r="C172" i="169"/>
</calcChain>
</file>

<file path=xl/sharedStrings.xml><?xml version="1.0" encoding="utf-8"?>
<sst xmlns="http://schemas.openxmlformats.org/spreadsheetml/2006/main" count="898" uniqueCount="424">
  <si>
    <t>Model</t>
  </si>
  <si>
    <t>Assumptions</t>
  </si>
  <si>
    <t>3 Statement Model</t>
  </si>
  <si>
    <t>Comparables</t>
  </si>
  <si>
    <t>WACC</t>
  </si>
  <si>
    <t>Beta</t>
  </si>
  <si>
    <t>Revenue Model</t>
  </si>
  <si>
    <t xml:space="preserve">Implied Share Price </t>
  </si>
  <si>
    <t>Implied Equity Value</t>
  </si>
  <si>
    <t>Historicals</t>
  </si>
  <si>
    <t>Shares Outstanding (Fully Diluted)</t>
  </si>
  <si>
    <t>Income Statement</t>
  </si>
  <si>
    <t>Balance Sheet</t>
  </si>
  <si>
    <t xml:space="preserve">Current Share Price </t>
  </si>
  <si>
    <t>Implied Return</t>
  </si>
  <si>
    <t>Inputs</t>
  </si>
  <si>
    <t>Tax Rate (U.S. Federal Corporate Tax Rate)</t>
  </si>
  <si>
    <t>Total Debt</t>
  </si>
  <si>
    <t>Risk-Free Rate of Return (Rf)</t>
  </si>
  <si>
    <t>Price per Share</t>
  </si>
  <si>
    <t>U.S. Market Risk Premium</t>
  </si>
  <si>
    <t>Shares Outstanding</t>
  </si>
  <si>
    <t>Operating Model Assumptions</t>
  </si>
  <si>
    <t>Scenario:</t>
  </si>
  <si>
    <t>&gt;Choose (1- Upside, 2- Base, 3- Downside)</t>
  </si>
  <si>
    <t>FY 2024E</t>
  </si>
  <si>
    <t>FY 2025E</t>
  </si>
  <si>
    <t>FY 2026E</t>
  </si>
  <si>
    <t>EBITDA Margin</t>
  </si>
  <si>
    <t>D&amp;A as % of Revenue</t>
  </si>
  <si>
    <t>% Tax Rate</t>
  </si>
  <si>
    <t>AR as % of Revenue</t>
  </si>
  <si>
    <t>Inventory as % of Revenue</t>
  </si>
  <si>
    <t>AP as % of Revenue</t>
  </si>
  <si>
    <t>Stock-based Compensation as % of Revenue</t>
  </si>
  <si>
    <t>CAPEX as % of Revenue</t>
  </si>
  <si>
    <t>PP&amp;E Depreciation as % of CAPEX</t>
  </si>
  <si>
    <t>Upside</t>
  </si>
  <si>
    <t>Base</t>
  </si>
  <si>
    <t>Downside</t>
  </si>
  <si>
    <t>Tax Rate</t>
  </si>
  <si>
    <t>Stock-based Compensations as % of Revenue</t>
  </si>
  <si>
    <t xml:space="preserve">Active Scenario: </t>
  </si>
  <si>
    <t>(1- Upside, 2- Base, 3- Downside)</t>
  </si>
  <si>
    <t>Historical</t>
  </si>
  <si>
    <t>Forecast</t>
  </si>
  <si>
    <t xml:space="preserve">Income Statement </t>
  </si>
  <si>
    <t>FY2017</t>
  </si>
  <si>
    <t>FY2018</t>
  </si>
  <si>
    <t>FY2019</t>
  </si>
  <si>
    <t>FY2020</t>
  </si>
  <si>
    <t>FY2021</t>
  </si>
  <si>
    <t>FY 2022E</t>
  </si>
  <si>
    <t>FY 2023E</t>
  </si>
  <si>
    <t>Revenue</t>
  </si>
  <si>
    <t>&gt;based on revenue model</t>
  </si>
  <si>
    <t>Operating expenses, excld. D&amp;A</t>
  </si>
  <si>
    <t>EBITDA</t>
  </si>
  <si>
    <t>D&amp;A</t>
  </si>
  <si>
    <t>EBIT</t>
  </si>
  <si>
    <t>Total Interest and Other, net</t>
  </si>
  <si>
    <t>&gt;fixed last historical year's interest, debt is held constant</t>
  </si>
  <si>
    <t>EBT</t>
  </si>
  <si>
    <t>Income Tax Expense (benefit)</t>
  </si>
  <si>
    <t>Net Income</t>
  </si>
  <si>
    <t>Revenue Growth</t>
  </si>
  <si>
    <t>&gt;due to VMware spinoff, first year revenue growth is negative</t>
  </si>
  <si>
    <t>&gt;fixed historical average and reasoning</t>
  </si>
  <si>
    <t>&gt;straight-lined last historical year's effective tax rate</t>
  </si>
  <si>
    <t>Current Assets:</t>
  </si>
  <si>
    <t>Cash and Cash Eqv</t>
  </si>
  <si>
    <t>Account receivables, net</t>
  </si>
  <si>
    <t>Short-term Financing receivables</t>
  </si>
  <si>
    <t>Inventories</t>
  </si>
  <si>
    <t>Other current assets</t>
  </si>
  <si>
    <t xml:space="preserve">Total Current Assets </t>
  </si>
  <si>
    <t>Long Term Assets:</t>
  </si>
  <si>
    <t>PP&amp;E</t>
  </si>
  <si>
    <t>&gt;PP&amp;E Schedule below</t>
  </si>
  <si>
    <t>Long-term investments</t>
  </si>
  <si>
    <t>Long-term financing receivables</t>
  </si>
  <si>
    <t>Goodwill</t>
  </si>
  <si>
    <t>&gt; straight-lined from last historical year</t>
  </si>
  <si>
    <t>Intangible assets, net</t>
  </si>
  <si>
    <t xml:space="preserve">Other long-term assets </t>
  </si>
  <si>
    <t>Total Long Term Assets</t>
  </si>
  <si>
    <t xml:space="preserve">Total Assets </t>
  </si>
  <si>
    <t>Inventories as % of Revenue</t>
  </si>
  <si>
    <t>Current Liabilities:</t>
  </si>
  <si>
    <t>Short-term debt</t>
  </si>
  <si>
    <t>Accounts Payable</t>
  </si>
  <si>
    <t>Accrued and other</t>
  </si>
  <si>
    <t>Short-term deferred revenue</t>
  </si>
  <si>
    <t>Total Current Liabilities</t>
  </si>
  <si>
    <t>Long Term Liabilities:</t>
  </si>
  <si>
    <t>Long-term debt</t>
  </si>
  <si>
    <t>Long-term deferred revenue</t>
  </si>
  <si>
    <t>Other non-current liabilities</t>
  </si>
  <si>
    <t>Total Liabilities</t>
  </si>
  <si>
    <t>Redeemable shares</t>
  </si>
  <si>
    <t>AP as a % of Revenue</t>
  </si>
  <si>
    <t>Equity:</t>
  </si>
  <si>
    <t>Common Stock</t>
  </si>
  <si>
    <t>&gt;based on historical stock issuance from CF statement</t>
  </si>
  <si>
    <t>Treasury stock at cost</t>
  </si>
  <si>
    <t>Retained Earnings</t>
  </si>
  <si>
    <t>Acc. Other comprehensive loss</t>
  </si>
  <si>
    <t>&gt;hold constant</t>
  </si>
  <si>
    <t>Total Shareholder's Equity</t>
  </si>
  <si>
    <t>Noncontrolling Interest</t>
  </si>
  <si>
    <t>Total Equity</t>
  </si>
  <si>
    <t>Total Liabilities and Equity</t>
  </si>
  <si>
    <t>Variance= Total Assets - Total Liabilities and Equity</t>
  </si>
  <si>
    <t>Cash Flow Statement</t>
  </si>
  <si>
    <t>Cash from Operating Activities</t>
  </si>
  <si>
    <t>Stock-based Compensation</t>
  </si>
  <si>
    <t>Deferred Income Tax</t>
  </si>
  <si>
    <t>Change in NWC:</t>
  </si>
  <si>
    <t>Other Cash from Operations</t>
  </si>
  <si>
    <t>Cash from Investing Activities</t>
  </si>
  <si>
    <t>Purchases of Investments</t>
  </si>
  <si>
    <t>Maturities and Sale of Investments</t>
  </si>
  <si>
    <t>Capital Expenditures</t>
  </si>
  <si>
    <t>Acquisition of Businesses and Assets, net</t>
  </si>
  <si>
    <t>Divestitures of Businesses and Assets, net</t>
  </si>
  <si>
    <t>Other</t>
  </si>
  <si>
    <t>Cash from Financing Activities</t>
  </si>
  <si>
    <t>Dividends paid to Vmware, Inc's stockholders</t>
  </si>
  <si>
    <t>-</t>
  </si>
  <si>
    <t>Proceeds from issuance of DHI common stock</t>
  </si>
  <si>
    <t>Proceeds from issuance of common stock</t>
  </si>
  <si>
    <t>&gt;straight-line of most recent historical year</t>
  </si>
  <si>
    <t>Repurchases of parent common stock</t>
  </si>
  <si>
    <t>Repurchases of subsidiary common stock</t>
  </si>
  <si>
    <t>Proceeds from debt</t>
  </si>
  <si>
    <t>&gt;above, we assumed constant debt</t>
  </si>
  <si>
    <t>Repayments of debt</t>
  </si>
  <si>
    <t>Effect of FX</t>
  </si>
  <si>
    <t>Net Chance in Cash Position</t>
  </si>
  <si>
    <t>Beginning Cash</t>
  </si>
  <si>
    <t>Ending Cash</t>
  </si>
  <si>
    <t>PP&amp;E Schedule</t>
  </si>
  <si>
    <t>Beginning PP&amp;E</t>
  </si>
  <si>
    <t>Ending PP&amp;E</t>
  </si>
  <si>
    <t>PP&amp;E Depreciation</t>
  </si>
  <si>
    <t>Ending PP&amp;E, Net</t>
  </si>
  <si>
    <t>Capital Expenditures as % of Revenue</t>
  </si>
  <si>
    <t>&gt;assume purchases in line with historical trend</t>
  </si>
  <si>
    <t>PP&amp;E Depreciation as % of Capital Expenditures</t>
  </si>
  <si>
    <t>&gt;historical average of past 5 years, rolled over</t>
  </si>
  <si>
    <t>Unlevered Free Cash Flow (FCFF)</t>
  </si>
  <si>
    <t>Terminal Value - Gordon Growth</t>
  </si>
  <si>
    <t>Forecasted</t>
  </si>
  <si>
    <t>Terminal Growth Rate</t>
  </si>
  <si>
    <t>Period End</t>
  </si>
  <si>
    <t>Terminal Year UFCF</t>
  </si>
  <si>
    <t>Year</t>
  </si>
  <si>
    <t xml:space="preserve">Discount Rate </t>
  </si>
  <si>
    <t>Terminal Value</t>
  </si>
  <si>
    <t>Time Period</t>
  </si>
  <si>
    <t>PV of Terminal Value</t>
  </si>
  <si>
    <t>Operating Expense, excluding D&amp;A</t>
  </si>
  <si>
    <t>Terminal Value - Exit Multiple</t>
  </si>
  <si>
    <t>Exit Multiple</t>
  </si>
  <si>
    <t>Terminal Year EBITDA</t>
  </si>
  <si>
    <t>Less: Income Tax</t>
  </si>
  <si>
    <t>Discount Rate</t>
  </si>
  <si>
    <t>EBIAT</t>
  </si>
  <si>
    <t xml:space="preserve">Terminal Value  </t>
  </si>
  <si>
    <t>Add: D&amp;A</t>
  </si>
  <si>
    <t>Less: CAPEX</t>
  </si>
  <si>
    <t>Less: Increase in NWC</t>
  </si>
  <si>
    <t>Unlevered Free Cash Flow</t>
  </si>
  <si>
    <t xml:space="preserve">Terminal Value </t>
  </si>
  <si>
    <t>Discount Factor</t>
  </si>
  <si>
    <t>Gordon Growth</t>
  </si>
  <si>
    <t>PV of Yearly Unlevered Free Cash Flow</t>
  </si>
  <si>
    <t>Average</t>
  </si>
  <si>
    <t>Implied Enterprise Value, Equity Value, and Share Price</t>
  </si>
  <si>
    <t>Implied Enterprise Value</t>
  </si>
  <si>
    <t xml:space="preserve">PV of Projected </t>
  </si>
  <si>
    <t>as a % of TEV</t>
  </si>
  <si>
    <t>PV of Terminal</t>
  </si>
  <si>
    <t xml:space="preserve">as a % of TEV </t>
  </si>
  <si>
    <t>Enterprise Value</t>
  </si>
  <si>
    <t>Implied Enterprise to Equity Value Bridge</t>
  </si>
  <si>
    <t>(+) Cash &amp; Cash Eqv</t>
  </si>
  <si>
    <t xml:space="preserve">(-) Debt </t>
  </si>
  <si>
    <t>(-) Non-Controlling Interests</t>
  </si>
  <si>
    <t>(-) Preferred Shares</t>
  </si>
  <si>
    <t>Basic Outputs and Sensitivities</t>
  </si>
  <si>
    <t>Comparable Companies &amp; Multiples</t>
  </si>
  <si>
    <t> </t>
  </si>
  <si>
    <t>Market Data (as at Jan 31, 2021)</t>
  </si>
  <si>
    <t>Financial Data LTM</t>
  </si>
  <si>
    <t>EV Multiples</t>
  </si>
  <si>
    <t>Pricing Multiples</t>
  </si>
  <si>
    <t>Price</t>
  </si>
  <si>
    <t>Market Cap</t>
  </si>
  <si>
    <t>EV</t>
  </si>
  <si>
    <t>Earnings</t>
  </si>
  <si>
    <t>EV/Revenue</t>
  </si>
  <si>
    <t>EV/EBITDA</t>
  </si>
  <si>
    <t>EV/EBIT</t>
  </si>
  <si>
    <t>P/E</t>
  </si>
  <si>
    <t>Company Name</t>
  </si>
  <si>
    <t>($/share)</t>
  </si>
  <si>
    <t>($M)</t>
  </si>
  <si>
    <t>x</t>
  </si>
  <si>
    <t>HP Inc.</t>
  </si>
  <si>
    <t>Hewlett Packard Enterprise Company</t>
  </si>
  <si>
    <t>&gt;excluded from avg</t>
  </si>
  <si>
    <t>Western Digital Corporation</t>
  </si>
  <si>
    <t>Lenovo</t>
  </si>
  <si>
    <t>NEC</t>
  </si>
  <si>
    <t>NetApp</t>
  </si>
  <si>
    <t>Dell Technologies</t>
  </si>
  <si>
    <t>Median</t>
  </si>
  <si>
    <t>High</t>
  </si>
  <si>
    <t>Low</t>
  </si>
  <si>
    <t>Implied Value of Dell Technologies</t>
  </si>
  <si>
    <t>Case</t>
  </si>
  <si>
    <t>(-) Underfunded Pensions</t>
  </si>
  <si>
    <t>Implied Share Price of Dell Technologies</t>
  </si>
  <si>
    <t xml:space="preserve">Company Name </t>
  </si>
  <si>
    <t xml:space="preserve">DELL </t>
  </si>
  <si>
    <t xml:space="preserve">Cost of Debt Calculation </t>
  </si>
  <si>
    <t>Unit</t>
  </si>
  <si>
    <t xml:space="preserve">Interest Expense </t>
  </si>
  <si>
    <t>$MM</t>
  </si>
  <si>
    <t xml:space="preserve">ST Debt </t>
  </si>
  <si>
    <t xml:space="preserve">LT Debt </t>
  </si>
  <si>
    <t xml:space="preserve">Cost of Debt </t>
  </si>
  <si>
    <t xml:space="preserve">Income Tax expense </t>
  </si>
  <si>
    <t xml:space="preserve">Income before Tax </t>
  </si>
  <si>
    <t xml:space="preserve">Effective Tax Rate </t>
  </si>
  <si>
    <t>%</t>
  </si>
  <si>
    <t>Cost of Debt*(1-T)</t>
  </si>
  <si>
    <t xml:space="preserve">Cost of Equity Calculation </t>
  </si>
  <si>
    <t xml:space="preserve">Risk free rate </t>
  </si>
  <si>
    <t>&gt; U.S. Department of the Treasury as of Nov. 24, 2021</t>
  </si>
  <si>
    <t xml:space="preserve">Beta </t>
  </si>
  <si>
    <t>&gt; from Beta Calculation tab</t>
  </si>
  <si>
    <t>Market Risk Premium</t>
  </si>
  <si>
    <t>&gt;average market risk premium for United States 2021, Statista</t>
  </si>
  <si>
    <t xml:space="preserve">Cost of Equity </t>
  </si>
  <si>
    <t>Weight of Debt and Equity Calculation</t>
  </si>
  <si>
    <t xml:space="preserve">Total Debt </t>
  </si>
  <si>
    <t xml:space="preserve">Market Cap </t>
  </si>
  <si>
    <t>Total</t>
  </si>
  <si>
    <t>Weight of Debt</t>
  </si>
  <si>
    <t>Weight of Equity</t>
  </si>
  <si>
    <t xml:space="preserve">WACC Calculation </t>
  </si>
  <si>
    <t xml:space="preserve">WACC </t>
  </si>
  <si>
    <t xml:space="preserve">Weight OF Equity </t>
  </si>
  <si>
    <t>SPY</t>
  </si>
  <si>
    <t>DELL</t>
  </si>
  <si>
    <t>Date</t>
  </si>
  <si>
    <t>Adj Close</t>
  </si>
  <si>
    <t xml:space="preserve">Market Return </t>
  </si>
  <si>
    <t xml:space="preserve">Company return </t>
  </si>
  <si>
    <t>beta</t>
  </si>
  <si>
    <t xml:space="preserve">R-Square </t>
  </si>
  <si>
    <t xml:space="preserve">10 year US govenrment bond yield </t>
  </si>
  <si>
    <t xml:space="preserve">market risk premium </t>
  </si>
  <si>
    <t>Units:</t>
  </si>
  <si>
    <t>Infrastructure Solutions Group (ISG)</t>
  </si>
  <si>
    <t>Servers and Networking</t>
  </si>
  <si>
    <t>Growth</t>
  </si>
  <si>
    <t xml:space="preserve">*growth rate takes into account the historical average </t>
  </si>
  <si>
    <t>Storage</t>
  </si>
  <si>
    <t xml:space="preserve">as well as logical reasoning based on information from MD&amp;A </t>
  </si>
  <si>
    <t>Total ISG Revenue</t>
  </si>
  <si>
    <t>Client Solutions Group (CSG)</t>
  </si>
  <si>
    <t>Commercial</t>
  </si>
  <si>
    <t>Consumer</t>
  </si>
  <si>
    <t>Total CSG Revenue</t>
  </si>
  <si>
    <t>VMware</t>
  </si>
  <si>
    <t>*VMware is excluded due to spinoff.</t>
  </si>
  <si>
    <t>Other Businesses</t>
  </si>
  <si>
    <t>Unallocated Impact of Purchase Accounting</t>
  </si>
  <si>
    <t>Unallocated Transactions</t>
  </si>
  <si>
    <t xml:space="preserve">  Total Revenues</t>
  </si>
  <si>
    <t>ISG Servers and Networking Growth</t>
  </si>
  <si>
    <t>ISG Storage Growth</t>
  </si>
  <si>
    <t>CSG Commercial Growth</t>
  </si>
  <si>
    <t>CSG Consumer Growth</t>
  </si>
  <si>
    <t>Other Businesses Growth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</si>
  <si>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</si>
  <si>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</si>
  <si>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</si>
  <si>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</si>
  <si>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</si>
  <si>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</si>
  <si>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</si>
  <si>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</si>
  <si>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</si>
  <si>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</si>
  <si>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</si>
  <si>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</si>
  <si>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</si>
  <si>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</si>
  <si>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</si>
  <si>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</si>
  <si>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</si>
  <si>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</si>
  <si>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</si>
  <si>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Gain (Loss) On Sale Of Assets</t>
  </si>
  <si>
    <t>Asset Writedown</t>
  </si>
  <si>
    <t>Legal Settlements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</si>
  <si>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</si>
  <si>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</si>
  <si>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</si>
  <si>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</si>
  <si>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</si>
  <si>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</si>
  <si>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</si>
  <si>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</si>
  <si>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</si>
  <si>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</si>
  <si>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</si>
  <si>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</si>
  <si>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</si>
  <si>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</si>
  <si>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</si>
  <si>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</si>
  <si>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</si>
  <si>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</si>
  <si>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</si>
  <si>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</si>
  <si>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</si>
  <si>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</si>
  <si>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NA</t>
  </si>
  <si>
    <t>Shares per Depository Receipt</t>
  </si>
  <si>
    <t>Supplemental Items</t>
  </si>
  <si>
    <t>EBITA</t>
  </si>
  <si>
    <t>EBITDAR</t>
  </si>
  <si>
    <t>As Reported Total Revenue*</t>
  </si>
  <si>
    <t>Effective Tax Rate %</t>
  </si>
  <si>
    <t>NM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</si>
  <si>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</si>
  <si>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</si>
  <si>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</si>
  <si>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</si>
  <si>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</si>
  <si>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</si>
  <si>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</si>
  <si>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Non-Cash Pension Expense</t>
  </si>
  <si>
    <t>Filing Date</t>
  </si>
  <si>
    <t>Restatement Type</t>
  </si>
  <si>
    <t>RS</t>
  </si>
  <si>
    <t>NC</t>
  </si>
  <si>
    <t>O</t>
  </si>
  <si>
    <t>Calculation Type</t>
  </si>
  <si>
    <t>REP</t>
  </si>
  <si>
    <t>Supplemental Operating Expense Items</t>
  </si>
  <si>
    <t>Advertising Exp.</t>
  </si>
  <si>
    <t>Selling and Marketing Exp.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</si>
  <si>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</si>
  <si>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</si>
  <si>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</si>
  <si>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</si>
  <si>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</si>
  <si>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Unallocated</t>
  </si>
  <si>
    <t xml:space="preserve">  Stock-Based Comp., Total</t>
  </si>
  <si>
    <t>(Amounts in US $Millions)</t>
  </si>
  <si>
    <t>FY2017A</t>
  </si>
  <si>
    <t>FY2018A</t>
  </si>
  <si>
    <t>FY2019A</t>
  </si>
  <si>
    <t>FY2020A</t>
  </si>
  <si>
    <t>FY2021A</t>
  </si>
  <si>
    <t>Short-term investments</t>
  </si>
  <si>
    <t>Accumulated deficit</t>
  </si>
  <si>
    <t>Check</t>
  </si>
  <si>
    <t>Ok!</t>
  </si>
  <si>
    <t>Cash Flow</t>
  </si>
  <si>
    <t xml:space="preserve"> </t>
  </si>
  <si>
    <t>Amort. of Goodwill and Intangibles</t>
  </si>
  <si>
    <t>Depreciation &amp; Amort., Total</t>
  </si>
  <si>
    <t>Other Amortization</t>
  </si>
  <si>
    <t>(Gain) Loss From Sale Of Assets</t>
  </si>
  <si>
    <t>Asset Writedown &amp; Restructuring Costs</t>
  </si>
  <si>
    <t>Stock-Based Compensation</t>
  </si>
  <si>
    <t>Provision &amp; Write-off of Bad debts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</si>
  <si>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</si>
  <si>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</si>
  <si>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</si>
  <si>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</si>
  <si>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</si>
  <si>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</si>
  <si>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</si>
  <si>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</si>
  <si>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Sale of Property, Plant, and Equipment</t>
  </si>
  <si>
    <t>Cash Acquisitions</t>
  </si>
  <si>
    <t>Divestitures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</si>
  <si>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</si>
  <si>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</si>
  <si>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</si>
  <si>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</si>
  <si>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</si>
  <si>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</si>
  <si>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</si>
  <si>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</si>
  <si>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</si>
  <si>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</si>
  <si>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</si>
  <si>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</si>
  <si>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</si>
  <si>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</si>
  <si>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</si>
  <si>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</si>
  <si>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</si>
  <si>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</si>
  <si>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 xml:space="preserve">  Net Change in Cash</t>
  </si>
  <si>
    <t>Cash Interest Paid</t>
  </si>
  <si>
    <t>Cash Taxes Paid</t>
  </si>
  <si>
    <t>Levered Free Cash Flow</t>
  </si>
  <si>
    <t>Change in Net Working Capital</t>
  </si>
  <si>
    <t>Net Debt Issued</t>
  </si>
  <si>
    <t>P</t>
  </si>
  <si>
    <t>LTM</t>
  </si>
  <si>
    <t xml:space="preserve">
               </t>
  </si>
  <si>
    <t>&gt;Closing Price, Nov. 26, 2021</t>
  </si>
  <si>
    <t>After tax 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</si>
</sst>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(* #,##0.0_);_(* \(#,##0.0\)_)\ ;_(* 0_)"/>
    <numFmt numFmtId="166" formatCode="_(&quot;$&quot;#,##0.0#_);_(\(&quot;$&quot;#,##0.0#\)_);_(&quot;$&quot;&quot; - &quot;_)"/>
    <numFmt numFmtId="167" formatCode="_(* #,##0.0#_);_(* \(#,##0.0#\)_)\ ;_(* 0_)"/>
    <numFmt numFmtId="168" formatCode="_(* #,##0.0##_);_(* \(#,##0.0##\)_)\ ;_(* 0_)"/>
    <numFmt numFmtId="169" formatCode="_(#,##0.0%_);_(\(#,##0.0%\)_);_(#,##0.0%_)"/>
    <numFmt numFmtId="170" formatCode="mmm\-dd\-yyyy"/>
    <numFmt numFmtId="171" formatCode="&quot;FY&quot;\ yyyy&quot;A&quot;"/>
    <numFmt numFmtId="172" formatCode="[$-409]dd\-mmm\-yy;@"/>
    <numFmt numFmtId="173" formatCode="[$-409]d\-mmm\-yy;@"/>
    <numFmt numFmtId="174" formatCode="&quot;FY&quot;\ yyyy&quot;E&quot;"/>
    <numFmt numFmtId="175" formatCode="0.0%"/>
    <numFmt numFmtId="176" formatCode="&quot;$&quot;#,##0.00"/>
    <numFmt numFmtId="177" formatCode="_(* #,##0.0_);_(* \(#,##0.0\);_(* &quot;-&quot;?_);_(@_)"/>
    <numFmt numFmtId="178" formatCode="0.0"/>
    <numFmt numFmtId="179" formatCode="0.000"/>
    <numFmt numFmtId="180" formatCode="#,##0.0_);\(#,##0.0\)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indexed="9"/>
      <name val="Trebuchet MS"/>
      <family val="2"/>
    </font>
    <font>
      <b/>
      <u val="singleAccounting"/>
      <sz val="11"/>
      <name val="Trebuchet MS"/>
      <family val="2"/>
    </font>
    <font>
      <b/>
      <sz val="11"/>
      <color indexed="8"/>
      <name val="Trebuchet MS"/>
      <family val="2"/>
    </font>
    <font>
      <sz val="11"/>
      <color indexed="8"/>
      <name val="Trebuchet MS"/>
      <family val="2"/>
    </font>
    <font>
      <b/>
      <sz val="11"/>
      <color theme="1"/>
      <name val="Trebuchet MS"/>
      <family val="2"/>
    </font>
    <font>
      <sz val="11"/>
      <color rgb="FF0000FF"/>
      <name val="Trebuchet MS"/>
      <family val="2"/>
    </font>
    <font>
      <i/>
      <sz val="11"/>
      <color indexed="8"/>
      <name val="Trebuchet MS"/>
      <family val="2"/>
    </font>
    <font>
      <i/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000000"/>
      <name val="Trebuchet MS"/>
      <family val="2"/>
    </font>
    <font>
      <i/>
      <sz val="11"/>
      <color rgb="FF000000"/>
      <name val="Trebuchet MS"/>
      <family val="2"/>
    </font>
    <font>
      <sz val="11"/>
      <color rgb="FFFFFFFF"/>
      <name val="Trebuchet MS"/>
      <family val="2"/>
    </font>
    <font>
      <sz val="11"/>
      <color theme="0"/>
      <name val="Trebuchet MS"/>
      <family val="2"/>
    </font>
    <font>
      <sz val="14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2"/>
      <color rgb="FF0000FF"/>
      <name val="Trebuchet MS"/>
      <family val="2"/>
    </font>
    <font>
      <b/>
      <u/>
      <sz val="12"/>
      <color rgb="FF305496"/>
      <name val="Trebuchet MS"/>
      <family val="2"/>
    </font>
    <font>
      <sz val="12"/>
      <name val="Trebuchet MS"/>
      <family val="2"/>
    </font>
    <font>
      <b/>
      <sz val="12"/>
      <color rgb="FF008000"/>
      <name val="Trebuchet MS"/>
      <family val="2"/>
    </font>
    <font>
      <b/>
      <u val="double"/>
      <sz val="11"/>
      <color indexed="8"/>
      <name val="Trebuchet MS"/>
      <family val="2"/>
    </font>
    <font>
      <b/>
      <sz val="13"/>
      <color indexed="8"/>
      <name val="Verdana"/>
      <family val="2"/>
    </font>
    <font>
      <sz val="8"/>
      <color indexed="8"/>
      <name val="Arial"/>
      <family val="2"/>
    </font>
    <font>
      <b/>
      <sz val="8"/>
      <color indexed="9"/>
      <name val="Verdana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indexed="9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9"/>
      <name val="Trebuchet MS"/>
      <family val="2"/>
    </font>
    <font>
      <sz val="11"/>
      <color rgb="FF000000"/>
      <name val="Trebuchet MS"/>
      <family val="2"/>
    </font>
    <font>
      <sz val="11"/>
      <name val="Trebuchet MS"/>
      <family val="2"/>
    </font>
  </fonts>
  <fills count="1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0F0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31" fillId="0" borderId="0" applyAlignment="0"/>
    <xf numFmtId="0" fontId="34" fillId="0" borderId="0"/>
    <xf numFmtId="0" fontId="28" fillId="0" borderId="0" applyAlignment="0"/>
    <xf numFmtId="0" fontId="35" fillId="0" borderId="0" applyAlignment="0"/>
    <xf numFmtId="0" fontId="36" fillId="17" borderId="0" applyAlignment="0"/>
    <xf numFmtId="0" fontId="37" fillId="18" borderId="0" applyAlignment="0"/>
    <xf numFmtId="0" fontId="30" fillId="2" borderId="0" applyAlignment="0"/>
    <xf numFmtId="0" fontId="32" fillId="16" borderId="0" applyAlignment="0"/>
    <xf numFmtId="0" fontId="29" fillId="0" borderId="0" applyAlignment="0"/>
    <xf numFmtId="0" fontId="38" fillId="0" borderId="0" applyAlignment="0"/>
    <xf numFmtId="0" fontId="39" fillId="0" borderId="0" applyAlignment="0"/>
    <xf numFmtId="0" fontId="33" fillId="0" borderId="0" applyAlignment="0"/>
    <xf numFmtId="0" fontId="40" fillId="0" borderId="0" applyAlignment="0"/>
    <xf numFmtId="0" fontId="33" fillId="0" borderId="0" applyAlignment="0">
      <alignment wrapText="1"/>
    </xf>
    <xf numFmtId="0" fontId="41" fillId="0" borderId="0" applyAlignment="0"/>
    <xf numFmtId="0" fontId="42" fillId="0" borderId="0" applyAlignment="0"/>
  </cellStyleXfs>
  <cellXfs count="359">
    <xf numFmtId="0" fontId="0" fillId="0" borderId="0" xfId="0"/>
    <xf numFmtId="0" fontId="2" fillId="0" borderId="0" xfId="0" applyFont="1"/>
    <xf numFmtId="0" fontId="3" fillId="2" borderId="6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5" fontId="6" fillId="0" borderId="0" xfId="0" applyNumberFormat="1" applyFont="1" applyAlignment="1">
      <alignment horizontal="left" vertical="top"/>
    </xf>
    <xf numFmtId="172" fontId="6" fillId="0" borderId="0" xfId="0" applyNumberFormat="1" applyFont="1" applyAlignment="1">
      <alignment horizontal="left" vertical="top"/>
    </xf>
    <xf numFmtId="173" fontId="2" fillId="0" borderId="0" xfId="0" applyNumberFormat="1" applyFont="1"/>
    <xf numFmtId="173" fontId="2" fillId="0" borderId="10" xfId="0" applyNumberFormat="1" applyFont="1" applyBorder="1"/>
    <xf numFmtId="0" fontId="5" fillId="0" borderId="11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top"/>
    </xf>
    <xf numFmtId="171" fontId="5" fillId="0" borderId="3" xfId="0" applyNumberFormat="1" applyFont="1" applyBorder="1" applyAlignment="1">
      <alignment horizontal="left" vertical="top"/>
    </xf>
    <xf numFmtId="174" fontId="7" fillId="0" borderId="3" xfId="0" applyNumberFormat="1" applyFont="1" applyBorder="1"/>
    <xf numFmtId="174" fontId="7" fillId="0" borderId="9" xfId="0" applyNumberFormat="1" applyFont="1" applyBorder="1"/>
    <xf numFmtId="0" fontId="5" fillId="0" borderId="14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0" fontId="2" fillId="0" borderId="4" xfId="0" applyFont="1" applyBorder="1"/>
    <xf numFmtId="0" fontId="2" fillId="0" borderId="12" xfId="0" applyFont="1" applyBorder="1"/>
    <xf numFmtId="0" fontId="6" fillId="0" borderId="8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165" fontId="6" fillId="0" borderId="0" xfId="0" applyNumberFormat="1" applyFont="1" applyAlignment="1">
      <alignment horizontal="right" vertical="top" wrapText="1"/>
    </xf>
    <xf numFmtId="0" fontId="2" fillId="0" borderId="10" xfId="0" applyFont="1" applyBorder="1"/>
    <xf numFmtId="0" fontId="6" fillId="0" borderId="8" xfId="0" applyFont="1" applyBorder="1" applyAlignment="1">
      <alignment horizontal="left" vertical="top" indent="1"/>
    </xf>
    <xf numFmtId="37" fontId="8" fillId="0" borderId="0" xfId="0" applyNumberFormat="1" applyFont="1"/>
    <xf numFmtId="37" fontId="2" fillId="0" borderId="0" xfId="0" applyNumberFormat="1" applyFont="1"/>
    <xf numFmtId="37" fontId="2" fillId="0" borderId="10" xfId="0" applyNumberFormat="1" applyFont="1" applyBorder="1"/>
    <xf numFmtId="0" fontId="9" fillId="0" borderId="8" xfId="0" applyFont="1" applyBorder="1" applyAlignment="1">
      <alignment horizontal="left" vertical="top" indent="2"/>
    </xf>
    <xf numFmtId="0" fontId="9" fillId="0" borderId="0" xfId="0" applyFont="1" applyAlignment="1">
      <alignment horizontal="center" vertical="top"/>
    </xf>
    <xf numFmtId="3" fontId="2" fillId="0" borderId="0" xfId="0" applyNumberFormat="1" applyFont="1"/>
    <xf numFmtId="175" fontId="10" fillId="0" borderId="0" xfId="1" applyNumberFormat="1" applyFont="1" applyBorder="1"/>
    <xf numFmtId="175" fontId="8" fillId="0" borderId="0" xfId="1" applyNumberFormat="1" applyFont="1" applyBorder="1"/>
    <xf numFmtId="175" fontId="8" fillId="0" borderId="10" xfId="1" applyNumberFormat="1" applyFont="1" applyBorder="1"/>
    <xf numFmtId="37" fontId="8" fillId="0" borderId="0" xfId="0" applyNumberFormat="1" applyFont="1" applyAlignment="1">
      <alignment wrapText="1"/>
    </xf>
    <xf numFmtId="0" fontId="5" fillId="0" borderId="8" xfId="0" applyFont="1" applyBorder="1" applyAlignment="1">
      <alignment horizontal="left" vertical="top" indent="2"/>
    </xf>
    <xf numFmtId="0" fontId="5" fillId="0" borderId="0" xfId="0" applyFont="1" applyAlignment="1">
      <alignment horizontal="center" vertical="top"/>
    </xf>
    <xf numFmtId="37" fontId="5" fillId="0" borderId="0" xfId="0" applyNumberFormat="1" applyFont="1" applyAlignment="1">
      <alignment horizontal="right" vertical="top" wrapText="1"/>
    </xf>
    <xf numFmtId="37" fontId="7" fillId="0" borderId="0" xfId="0" applyNumberFormat="1" applyFont="1"/>
    <xf numFmtId="37" fontId="7" fillId="0" borderId="10" xfId="0" applyNumberFormat="1" applyFont="1" applyBorder="1"/>
    <xf numFmtId="37" fontId="8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37" fontId="2" fillId="0" borderId="9" xfId="0" applyNumberFormat="1" applyFont="1" applyBorder="1"/>
    <xf numFmtId="0" fontId="5" fillId="0" borderId="6" xfId="0" applyFont="1" applyBorder="1" applyAlignment="1">
      <alignment horizontal="left" vertical="top" indent="1"/>
    </xf>
    <xf numFmtId="0" fontId="5" fillId="0" borderId="5" xfId="0" applyFont="1" applyBorder="1" applyAlignment="1">
      <alignment horizontal="center" vertical="top"/>
    </xf>
    <xf numFmtId="165" fontId="5" fillId="0" borderId="5" xfId="0" applyNumberFormat="1" applyFont="1" applyBorder="1" applyAlignment="1">
      <alignment horizontal="right" vertical="top" wrapText="1"/>
    </xf>
    <xf numFmtId="164" fontId="7" fillId="0" borderId="5" xfId="0" applyNumberFormat="1" applyFont="1" applyBorder="1"/>
    <xf numFmtId="164" fontId="7" fillId="0" borderId="7" xfId="0" applyNumberFormat="1" applyFont="1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175" fontId="2" fillId="0" borderId="3" xfId="0" applyNumberFormat="1" applyFont="1" applyBorder="1"/>
    <xf numFmtId="0" fontId="2" fillId="0" borderId="9" xfId="0" applyFont="1" applyBorder="1"/>
    <xf numFmtId="175" fontId="6" fillId="0" borderId="0" xfId="1" applyNumberFormat="1" applyFont="1" applyBorder="1" applyAlignment="1">
      <alignment horizontal="right" vertical="top" wrapText="1"/>
    </xf>
    <xf numFmtId="175" fontId="8" fillId="0" borderId="0" xfId="0" applyNumberFormat="1" applyFont="1"/>
    <xf numFmtId="175" fontId="8" fillId="0" borderId="7" xfId="0" applyNumberFormat="1" applyFont="1" applyBorder="1"/>
    <xf numFmtId="175" fontId="8" fillId="0" borderId="10" xfId="0" applyNumberFormat="1" applyFont="1" applyBorder="1"/>
    <xf numFmtId="165" fontId="5" fillId="0" borderId="3" xfId="0" applyNumberFormat="1" applyFont="1" applyBorder="1" applyAlignment="1">
      <alignment horizontal="right" vertical="top" wrapText="1"/>
    </xf>
    <xf numFmtId="175" fontId="8" fillId="0" borderId="7" xfId="1" applyNumberFormat="1" applyFont="1" applyBorder="1"/>
    <xf numFmtId="170" fontId="6" fillId="0" borderId="0" xfId="0" applyNumberFormat="1" applyFont="1" applyAlignment="1">
      <alignment horizontal="right" vertical="top" wrapText="1"/>
    </xf>
    <xf numFmtId="175" fontId="2" fillId="0" borderId="3" xfId="1" applyNumberFormat="1" applyFont="1" applyBorder="1"/>
    <xf numFmtId="175" fontId="2" fillId="0" borderId="9" xfId="1" applyNumberFormat="1" applyFont="1" applyBorder="1"/>
    <xf numFmtId="175" fontId="2" fillId="0" borderId="0" xfId="0" applyNumberFormat="1" applyFont="1"/>
    <xf numFmtId="0" fontId="6" fillId="0" borderId="11" xfId="0" applyFont="1" applyBorder="1" applyAlignment="1">
      <alignment horizontal="left" vertical="top" indent="1"/>
    </xf>
    <xf numFmtId="0" fontId="6" fillId="0" borderId="3" xfId="0" applyFont="1" applyBorder="1" applyAlignment="1">
      <alignment horizontal="center" vertical="top"/>
    </xf>
    <xf numFmtId="175" fontId="8" fillId="0" borderId="3" xfId="1" applyNumberFormat="1" applyFont="1" applyBorder="1"/>
    <xf numFmtId="175" fontId="8" fillId="0" borderId="9" xfId="1" applyNumberFormat="1" applyFont="1" applyBorder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4" borderId="8" xfId="0" applyFont="1" applyFill="1" applyBorder="1" applyAlignment="1">
      <alignment horizontal="left" vertical="top"/>
    </xf>
    <xf numFmtId="165" fontId="6" fillId="4" borderId="0" xfId="0" applyNumberFormat="1" applyFont="1" applyFill="1" applyAlignment="1">
      <alignment horizontal="right" vertical="top" wrapText="1"/>
    </xf>
    <xf numFmtId="0" fontId="6" fillId="4" borderId="6" xfId="0" applyFont="1" applyFill="1" applyBorder="1" applyAlignment="1">
      <alignment horizontal="left" vertical="top"/>
    </xf>
    <xf numFmtId="165" fontId="6" fillId="4" borderId="10" xfId="0" applyNumberFormat="1" applyFont="1" applyFill="1" applyBorder="1" applyAlignment="1">
      <alignment horizontal="right" vertical="top" wrapText="1"/>
    </xf>
    <xf numFmtId="165" fontId="9" fillId="4" borderId="0" xfId="0" applyNumberFormat="1" applyFont="1" applyFill="1" applyAlignment="1">
      <alignment horizontal="right" wrapText="1"/>
    </xf>
    <xf numFmtId="0" fontId="6" fillId="4" borderId="11" xfId="0" applyFont="1" applyFill="1" applyBorder="1" applyAlignment="1">
      <alignment horizontal="left" vertical="top"/>
    </xf>
    <xf numFmtId="0" fontId="3" fillId="2" borderId="0" xfId="0" applyFont="1" applyFill="1"/>
    <xf numFmtId="0" fontId="2" fillId="4" borderId="0" xfId="0" applyFont="1" applyFill="1"/>
    <xf numFmtId="37" fontId="6" fillId="0" borderId="0" xfId="0" applyNumberFormat="1" applyFont="1" applyAlignment="1">
      <alignment horizontal="right" wrapText="1"/>
    </xf>
    <xf numFmtId="37" fontId="5" fillId="0" borderId="1" xfId="0" applyNumberFormat="1" applyFont="1" applyBorder="1" applyAlignment="1">
      <alignment wrapText="1"/>
    </xf>
    <xf numFmtId="0" fontId="12" fillId="6" borderId="0" xfId="0" applyFont="1" applyFill="1"/>
    <xf numFmtId="0" fontId="7" fillId="0" borderId="0" xfId="0" applyFont="1"/>
    <xf numFmtId="37" fontId="13" fillId="0" borderId="3" xfId="0" applyNumberFormat="1" applyFont="1" applyBorder="1"/>
    <xf numFmtId="0" fontId="7" fillId="0" borderId="5" xfId="0" applyFont="1" applyBorder="1"/>
    <xf numFmtId="0" fontId="2" fillId="0" borderId="5" xfId="0" applyFont="1" applyBorder="1"/>
    <xf numFmtId="37" fontId="14" fillId="0" borderId="0" xfId="0" applyNumberFormat="1" applyFont="1"/>
    <xf numFmtId="37" fontId="13" fillId="0" borderId="0" xfId="0" applyNumberFormat="1" applyFont="1"/>
    <xf numFmtId="37" fontId="14" fillId="0" borderId="5" xfId="0" applyNumberFormat="1" applyFont="1" applyBorder="1"/>
    <xf numFmtId="0" fontId="2" fillId="0" borderId="0" xfId="0" applyFont="1" applyAlignment="1">
      <alignment horizontal="left"/>
    </xf>
    <xf numFmtId="0" fontId="7" fillId="0" borderId="6" xfId="0" applyFont="1" applyBorder="1"/>
    <xf numFmtId="175" fontId="13" fillId="0" borderId="5" xfId="1" applyNumberFormat="1" applyFont="1" applyBorder="1" applyAlignment="1">
      <alignment horizontal="center"/>
    </xf>
    <xf numFmtId="175" fontId="13" fillId="0" borderId="7" xfId="1" applyNumberFormat="1" applyFont="1" applyBorder="1" applyAlignment="1">
      <alignment horizontal="center"/>
    </xf>
    <xf numFmtId="175" fontId="13" fillId="0" borderId="0" xfId="1" applyNumberFormat="1" applyFont="1" applyBorder="1" applyAlignment="1">
      <alignment horizontal="center"/>
    </xf>
    <xf numFmtId="175" fontId="13" fillId="0" borderId="10" xfId="1" applyNumberFormat="1" applyFont="1" applyBorder="1" applyAlignment="1">
      <alignment horizontal="center"/>
    </xf>
    <xf numFmtId="0" fontId="7" fillId="0" borderId="11" xfId="0" applyFont="1" applyBorder="1"/>
    <xf numFmtId="175" fontId="13" fillId="0" borderId="3" xfId="1" applyNumberFormat="1" applyFont="1" applyBorder="1" applyAlignment="1">
      <alignment horizontal="center"/>
    </xf>
    <xf numFmtId="175" fontId="13" fillId="0" borderId="9" xfId="1" applyNumberFormat="1" applyFont="1" applyBorder="1" applyAlignment="1">
      <alignment horizontal="center"/>
    </xf>
    <xf numFmtId="0" fontId="13" fillId="0" borderId="0" xfId="0" applyFont="1"/>
    <xf numFmtId="0" fontId="2" fillId="8" borderId="4" xfId="0" applyFont="1" applyFill="1" applyBorder="1"/>
    <xf numFmtId="37" fontId="2" fillId="8" borderId="4" xfId="0" applyNumberFormat="1" applyFont="1" applyFill="1" applyBorder="1"/>
    <xf numFmtId="175" fontId="2" fillId="0" borderId="5" xfId="0" applyNumberFormat="1" applyFont="1" applyBorder="1"/>
    <xf numFmtId="175" fontId="2" fillId="0" borderId="7" xfId="0" applyNumberFormat="1" applyFont="1" applyBorder="1"/>
    <xf numFmtId="175" fontId="2" fillId="0" borderId="9" xfId="0" applyNumberFormat="1" applyFont="1" applyBorder="1"/>
    <xf numFmtId="37" fontId="2" fillId="4" borderId="0" xfId="0" applyNumberFormat="1" applyFont="1" applyFill="1"/>
    <xf numFmtId="0" fontId="2" fillId="4" borderId="4" xfId="0" applyFont="1" applyFill="1" applyBorder="1"/>
    <xf numFmtId="175" fontId="2" fillId="4" borderId="4" xfId="0" applyNumberFormat="1" applyFont="1" applyFill="1" applyBorder="1"/>
    <xf numFmtId="175" fontId="2" fillId="4" borderId="12" xfId="0" applyNumberFormat="1" applyFont="1" applyFill="1" applyBorder="1"/>
    <xf numFmtId="0" fontId="2" fillId="5" borderId="4" xfId="0" applyFont="1" applyFill="1" applyBorder="1"/>
    <xf numFmtId="37" fontId="2" fillId="5" borderId="4" xfId="0" applyNumberFormat="1" applyFont="1" applyFill="1" applyBorder="1"/>
    <xf numFmtId="0" fontId="10" fillId="0" borderId="14" xfId="0" applyFont="1" applyBorder="1"/>
    <xf numFmtId="37" fontId="2" fillId="0" borderId="3" xfId="0" applyNumberFormat="1" applyFont="1" applyBorder="1"/>
    <xf numFmtId="37" fontId="7" fillId="0" borderId="5" xfId="0" applyNumberFormat="1" applyFont="1" applyBorder="1"/>
    <xf numFmtId="175" fontId="2" fillId="0" borderId="4" xfId="1" applyNumberFormat="1" applyFont="1" applyBorder="1"/>
    <xf numFmtId="175" fontId="2" fillId="0" borderId="12" xfId="1" applyNumberFormat="1" applyFont="1" applyBorder="1"/>
    <xf numFmtId="37" fontId="2" fillId="0" borderId="5" xfId="0" applyNumberFormat="1" applyFont="1" applyBorder="1"/>
    <xf numFmtId="37" fontId="2" fillId="0" borderId="0" xfId="0" applyNumberFormat="1" applyFont="1" applyAlignment="1">
      <alignment horizontal="center"/>
    </xf>
    <xf numFmtId="37" fontId="2" fillId="0" borderId="4" xfId="0" applyNumberFormat="1" applyFont="1" applyBorder="1"/>
    <xf numFmtId="37" fontId="2" fillId="0" borderId="12" xfId="0" applyNumberFormat="1" applyFont="1" applyBorder="1"/>
    <xf numFmtId="0" fontId="7" fillId="0" borderId="14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6" xfId="0" applyFont="1" applyBorder="1"/>
    <xf numFmtId="175" fontId="2" fillId="0" borderId="5" xfId="1" applyNumberFormat="1" applyFont="1" applyBorder="1"/>
    <xf numFmtId="0" fontId="2" fillId="0" borderId="0" xfId="0" applyFont="1" applyAlignment="1">
      <alignment horizontal="left" indent="1"/>
    </xf>
    <xf numFmtId="39" fontId="2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37" fontId="15" fillId="0" borderId="0" xfId="0" applyNumberFormat="1" applyFont="1"/>
    <xf numFmtId="0" fontId="15" fillId="9" borderId="4" xfId="0" applyFont="1" applyFill="1" applyBorder="1" applyAlignment="1">
      <alignment horizontal="left"/>
    </xf>
    <xf numFmtId="37" fontId="15" fillId="9" borderId="4" xfId="0" applyNumberFormat="1" applyFont="1" applyFill="1" applyBorder="1"/>
    <xf numFmtId="3" fontId="15" fillId="0" borderId="0" xfId="0" applyNumberFormat="1" applyFont="1"/>
    <xf numFmtId="0" fontId="16" fillId="9" borderId="4" xfId="0" applyFont="1" applyFill="1" applyBorder="1" applyAlignment="1">
      <alignment horizontal="left"/>
    </xf>
    <xf numFmtId="0" fontId="15" fillId="9" borderId="4" xfId="0" applyFont="1" applyFill="1" applyBorder="1"/>
    <xf numFmtId="0" fontId="15" fillId="0" borderId="6" xfId="0" applyFont="1" applyBorder="1"/>
    <xf numFmtId="175" fontId="15" fillId="0" borderId="5" xfId="1" applyNumberFormat="1" applyFont="1" applyBorder="1"/>
    <xf numFmtId="0" fontId="15" fillId="0" borderId="11" xfId="0" applyFont="1" applyBorder="1"/>
    <xf numFmtId="175" fontId="15" fillId="0" borderId="3" xfId="1" applyNumberFormat="1" applyFont="1" applyBorder="1"/>
    <xf numFmtId="175" fontId="15" fillId="0" borderId="0" xfId="1" applyNumberFormat="1" applyFont="1" applyBorder="1"/>
    <xf numFmtId="0" fontId="15" fillId="10" borderId="0" xfId="0" applyFont="1" applyFill="1"/>
    <xf numFmtId="37" fontId="15" fillId="10" borderId="0" xfId="0" applyNumberFormat="1" applyFont="1" applyFill="1"/>
    <xf numFmtId="37" fontId="15" fillId="4" borderId="0" xfId="0" applyNumberFormat="1" applyFont="1" applyFill="1"/>
    <xf numFmtId="3" fontId="15" fillId="10" borderId="0" xfId="0" applyNumberFormat="1" applyFont="1" applyFill="1"/>
    <xf numFmtId="0" fontId="15" fillId="4" borderId="0" xfId="0" applyFont="1" applyFill="1"/>
    <xf numFmtId="0" fontId="15" fillId="10" borderId="14" xfId="0" applyFont="1" applyFill="1" applyBorder="1"/>
    <xf numFmtId="175" fontId="15" fillId="10" borderId="4" xfId="1" applyNumberFormat="1" applyFont="1" applyFill="1" applyBorder="1"/>
    <xf numFmtId="0" fontId="15" fillId="11" borderId="4" xfId="0" applyFont="1" applyFill="1" applyBorder="1"/>
    <xf numFmtId="37" fontId="15" fillId="11" borderId="4" xfId="0" applyNumberFormat="1" applyFont="1" applyFill="1" applyBorder="1"/>
    <xf numFmtId="0" fontId="10" fillId="0" borderId="0" xfId="0" applyFont="1"/>
    <xf numFmtId="0" fontId="15" fillId="0" borderId="8" xfId="0" applyFont="1" applyBorder="1"/>
    <xf numFmtId="175" fontId="13" fillId="0" borderId="10" xfId="0" applyNumberFormat="1" applyFont="1" applyBorder="1"/>
    <xf numFmtId="37" fontId="15" fillId="0" borderId="10" xfId="0" applyNumberFormat="1" applyFont="1" applyBorder="1"/>
    <xf numFmtId="3" fontId="15" fillId="0" borderId="10" xfId="0" applyNumberFormat="1" applyFont="1" applyBorder="1"/>
    <xf numFmtId="10" fontId="13" fillId="0" borderId="10" xfId="0" applyNumberFormat="1" applyFont="1" applyBorder="1"/>
    <xf numFmtId="0" fontId="15" fillId="3" borderId="14" xfId="0" applyFont="1" applyFill="1" applyBorder="1"/>
    <xf numFmtId="37" fontId="15" fillId="3" borderId="12" xfId="0" applyNumberFormat="1" applyFont="1" applyFill="1" applyBorder="1"/>
    <xf numFmtId="0" fontId="15" fillId="0" borderId="9" xfId="0" applyFont="1" applyBorder="1"/>
    <xf numFmtId="3" fontId="15" fillId="3" borderId="12" xfId="0" applyNumberFormat="1" applyFont="1" applyFill="1" applyBorder="1"/>
    <xf numFmtId="178" fontId="13" fillId="0" borderId="10" xfId="0" applyNumberFormat="1" applyFont="1" applyBorder="1"/>
    <xf numFmtId="0" fontId="15" fillId="0" borderId="10" xfId="0" applyFont="1" applyBorder="1"/>
    <xf numFmtId="0" fontId="16" fillId="0" borderId="8" xfId="0" applyFont="1" applyBorder="1" applyAlignment="1">
      <alignment horizontal="left" indent="1"/>
    </xf>
    <xf numFmtId="10" fontId="15" fillId="0" borderId="10" xfId="0" applyNumberFormat="1" applyFont="1" applyBorder="1" applyAlignment="1">
      <alignment horizontal="right"/>
    </xf>
    <xf numFmtId="180" fontId="8" fillId="0" borderId="10" xfId="0" applyNumberFormat="1" applyFont="1" applyBorder="1"/>
    <xf numFmtId="0" fontId="17" fillId="14" borderId="0" xfId="0" applyFont="1" applyFill="1"/>
    <xf numFmtId="10" fontId="17" fillId="14" borderId="0" xfId="0" applyNumberFormat="1" applyFont="1" applyFill="1" applyAlignment="1">
      <alignment horizontal="center"/>
    </xf>
    <xf numFmtId="0" fontId="17" fillId="14" borderId="0" xfId="0" applyFont="1" applyFill="1" applyAlignment="1">
      <alignment horizontal="center" vertical="center" textRotation="90"/>
    </xf>
    <xf numFmtId="10" fontId="17" fillId="14" borderId="0" xfId="0" applyNumberFormat="1" applyFont="1" applyFill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6" fillId="0" borderId="0" xfId="0" applyFont="1"/>
    <xf numFmtId="0" fontId="18" fillId="6" borderId="0" xfId="0" applyFont="1" applyFill="1"/>
    <xf numFmtId="0" fontId="2" fillId="6" borderId="0" xfId="0" applyFont="1" applyFill="1"/>
    <xf numFmtId="0" fontId="2" fillId="4" borderId="6" xfId="0" applyFont="1" applyFill="1" applyBorder="1"/>
    <xf numFmtId="0" fontId="2" fillId="4" borderId="5" xfId="0" applyFont="1" applyFill="1" applyBorder="1"/>
    <xf numFmtId="0" fontId="2" fillId="4" borderId="8" xfId="0" applyFont="1" applyFill="1" applyBorder="1"/>
    <xf numFmtId="0" fontId="2" fillId="4" borderId="11" xfId="0" applyFont="1" applyFill="1" applyBorder="1"/>
    <xf numFmtId="0" fontId="2" fillId="4" borderId="3" xfId="0" applyFont="1" applyFill="1" applyBorder="1"/>
    <xf numFmtId="174" fontId="12" fillId="6" borderId="0" xfId="0" applyNumberFormat="1" applyFont="1" applyFill="1" applyAlignment="1">
      <alignment horizontal="center"/>
    </xf>
    <xf numFmtId="0" fontId="2" fillId="4" borderId="13" xfId="0" applyFont="1" applyFill="1" applyBorder="1"/>
    <xf numFmtId="175" fontId="2" fillId="4" borderId="6" xfId="1" applyNumberFormat="1" applyFont="1" applyFill="1" applyBorder="1"/>
    <xf numFmtId="175" fontId="2" fillId="4" borderId="5" xfId="1" applyNumberFormat="1" applyFont="1" applyFill="1" applyBorder="1"/>
    <xf numFmtId="175" fontId="2" fillId="4" borderId="7" xfId="1" applyNumberFormat="1" applyFont="1" applyFill="1" applyBorder="1"/>
    <xf numFmtId="0" fontId="2" fillId="4" borderId="15" xfId="0" applyFont="1" applyFill="1" applyBorder="1"/>
    <xf numFmtId="175" fontId="2" fillId="4" borderId="8" xfId="1" applyNumberFormat="1" applyFont="1" applyFill="1" applyBorder="1"/>
    <xf numFmtId="175" fontId="2" fillId="4" borderId="0" xfId="1" applyNumberFormat="1" applyFont="1" applyFill="1" applyBorder="1"/>
    <xf numFmtId="175" fontId="2" fillId="4" borderId="10" xfId="1" applyNumberFormat="1" applyFont="1" applyFill="1" applyBorder="1"/>
    <xf numFmtId="0" fontId="2" fillId="4" borderId="16" xfId="0" applyFont="1" applyFill="1" applyBorder="1"/>
    <xf numFmtId="175" fontId="2" fillId="4" borderId="11" xfId="1" applyNumberFormat="1" applyFont="1" applyFill="1" applyBorder="1"/>
    <xf numFmtId="175" fontId="2" fillId="4" borderId="3" xfId="1" applyNumberFormat="1" applyFont="1" applyFill="1" applyBorder="1"/>
    <xf numFmtId="175" fontId="2" fillId="4" borderId="9" xfId="1" applyNumberFormat="1" applyFont="1" applyFill="1" applyBorder="1"/>
    <xf numFmtId="0" fontId="12" fillId="6" borderId="6" xfId="0" applyFont="1" applyFill="1" applyBorder="1"/>
    <xf numFmtId="174" fontId="12" fillId="6" borderId="5" xfId="0" applyNumberFormat="1" applyFont="1" applyFill="1" applyBorder="1" applyAlignment="1">
      <alignment horizontal="center"/>
    </xf>
    <xf numFmtId="174" fontId="12" fillId="6" borderId="7" xfId="0" applyNumberFormat="1" applyFont="1" applyFill="1" applyBorder="1" applyAlignment="1">
      <alignment horizontal="center"/>
    </xf>
    <xf numFmtId="175" fontId="8" fillId="15" borderId="6" xfId="1" applyNumberFormat="1" applyFont="1" applyFill="1" applyBorder="1" applyAlignment="1">
      <alignment horizontal="center"/>
    </xf>
    <xf numFmtId="175" fontId="8" fillId="15" borderId="5" xfId="1" applyNumberFormat="1" applyFont="1" applyFill="1" applyBorder="1" applyAlignment="1">
      <alignment horizontal="center"/>
    </xf>
    <xf numFmtId="175" fontId="8" fillId="15" borderId="7" xfId="1" applyNumberFormat="1" applyFont="1" applyFill="1" applyBorder="1" applyAlignment="1">
      <alignment horizontal="center"/>
    </xf>
    <xf numFmtId="175" fontId="8" fillId="15" borderId="8" xfId="1" applyNumberFormat="1" applyFont="1" applyFill="1" applyBorder="1" applyAlignment="1">
      <alignment horizontal="center"/>
    </xf>
    <xf numFmtId="175" fontId="8" fillId="15" borderId="0" xfId="1" applyNumberFormat="1" applyFont="1" applyFill="1" applyBorder="1" applyAlignment="1">
      <alignment horizontal="center"/>
    </xf>
    <xf numFmtId="175" fontId="8" fillId="15" borderId="10" xfId="1" applyNumberFormat="1" applyFont="1" applyFill="1" applyBorder="1" applyAlignment="1">
      <alignment horizontal="center"/>
    </xf>
    <xf numFmtId="175" fontId="8" fillId="15" borderId="11" xfId="1" applyNumberFormat="1" applyFont="1" applyFill="1" applyBorder="1" applyAlignment="1">
      <alignment horizontal="center"/>
    </xf>
    <xf numFmtId="175" fontId="8" fillId="15" borderId="3" xfId="1" applyNumberFormat="1" applyFont="1" applyFill="1" applyBorder="1" applyAlignment="1">
      <alignment horizontal="center"/>
    </xf>
    <xf numFmtId="175" fontId="8" fillId="15" borderId="9" xfId="1" applyNumberFormat="1" applyFont="1" applyFill="1" applyBorder="1" applyAlignment="1">
      <alignment horizontal="center"/>
    </xf>
    <xf numFmtId="0" fontId="19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20" fillId="4" borderId="0" xfId="0" applyFont="1" applyFill="1" applyAlignment="1">
      <alignment wrapText="1"/>
    </xf>
    <xf numFmtId="9" fontId="22" fillId="4" borderId="0" xfId="1" applyFont="1" applyFill="1" applyBorder="1"/>
    <xf numFmtId="0" fontId="7" fillId="4" borderId="0" xfId="0" applyFont="1" applyFill="1"/>
    <xf numFmtId="9" fontId="23" fillId="4" borderId="0" xfId="1" applyFont="1" applyFill="1" applyBorder="1" applyAlignment="1">
      <alignment horizontal="center"/>
    </xf>
    <xf numFmtId="0" fontId="24" fillId="4" borderId="0" xfId="3" applyFont="1" applyFill="1"/>
    <xf numFmtId="9" fontId="25" fillId="4" borderId="0" xfId="1" applyFont="1" applyFill="1" applyBorder="1" applyAlignment="1">
      <alignment horizontal="center"/>
    </xf>
    <xf numFmtId="9" fontId="21" fillId="4" borderId="0" xfId="1" applyFont="1" applyFill="1" applyBorder="1" applyAlignment="1">
      <alignment horizontal="center"/>
    </xf>
    <xf numFmtId="176" fontId="21" fillId="4" borderId="0" xfId="1" applyNumberFormat="1" applyFont="1" applyFill="1" applyBorder="1" applyAlignment="1">
      <alignment horizontal="center"/>
    </xf>
    <xf numFmtId="175" fontId="26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8" borderId="4" xfId="0" applyNumberFormat="1" applyFont="1" applyFill="1" applyBorder="1"/>
    <xf numFmtId="178" fontId="2" fillId="8" borderId="4" xfId="0" applyNumberFormat="1" applyFont="1" applyFill="1" applyBorder="1"/>
    <xf numFmtId="0" fontId="12" fillId="0" borderId="0" xfId="0" applyFont="1"/>
    <xf numFmtId="0" fontId="2" fillId="13" borderId="6" xfId="0" applyFont="1" applyFill="1" applyBorder="1"/>
    <xf numFmtId="0" fontId="2" fillId="13" borderId="8" xfId="0" applyFont="1" applyFill="1" applyBorder="1"/>
    <xf numFmtId="0" fontId="2" fillId="13" borderId="11" xfId="0" applyFont="1" applyFill="1" applyBorder="1"/>
    <xf numFmtId="0" fontId="3" fillId="6" borderId="6" xfId="0" applyFont="1" applyFill="1" applyBorder="1"/>
    <xf numFmtId="0" fontId="3" fillId="6" borderId="5" xfId="0" applyFont="1" applyFill="1" applyBorder="1"/>
    <xf numFmtId="0" fontId="3" fillId="6" borderId="7" xfId="0" applyFont="1" applyFill="1" applyBorder="1"/>
    <xf numFmtId="0" fontId="18" fillId="0" borderId="0" xfId="0" applyFont="1"/>
    <xf numFmtId="0" fontId="3" fillId="6" borderId="8" xfId="0" applyFont="1" applyFill="1" applyBorder="1"/>
    <xf numFmtId="0" fontId="3" fillId="6" borderId="0" xfId="0" applyFont="1" applyFill="1"/>
    <xf numFmtId="0" fontId="3" fillId="6" borderId="10" xfId="0" applyFont="1" applyFill="1" applyBorder="1"/>
    <xf numFmtId="0" fontId="3" fillId="6" borderId="11" xfId="0" applyFont="1" applyFill="1" applyBorder="1"/>
    <xf numFmtId="0" fontId="3" fillId="6" borderId="3" xfId="0" applyFont="1" applyFill="1" applyBorder="1"/>
    <xf numFmtId="0" fontId="3" fillId="6" borderId="9" xfId="0" applyFont="1" applyFill="1" applyBorder="1"/>
    <xf numFmtId="3" fontId="15" fillId="4" borderId="0" xfId="0" applyNumberFormat="1" applyFont="1" applyFill="1"/>
    <xf numFmtId="178" fontId="15" fillId="4" borderId="0" xfId="0" applyNumberFormat="1" applyFont="1" applyFill="1"/>
    <xf numFmtId="178" fontId="16" fillId="4" borderId="0" xfId="0" applyNumberFormat="1" applyFont="1" applyFill="1"/>
    <xf numFmtId="0" fontId="15" fillId="9" borderId="14" xfId="0" applyFont="1" applyFill="1" applyBorder="1" applyAlignment="1">
      <alignment horizontal="left"/>
    </xf>
    <xf numFmtId="3" fontId="15" fillId="9" borderId="4" xfId="0" applyNumberFormat="1" applyFont="1" applyFill="1" applyBorder="1"/>
    <xf numFmtId="178" fontId="15" fillId="9" borderId="4" xfId="0" applyNumberFormat="1" applyFont="1" applyFill="1" applyBorder="1" applyAlignment="1">
      <alignment horizontal="left"/>
    </xf>
    <xf numFmtId="3" fontId="15" fillId="9" borderId="12" xfId="0" applyNumberFormat="1" applyFont="1" applyFill="1" applyBorder="1"/>
    <xf numFmtId="3" fontId="15" fillId="4" borderId="10" xfId="0" applyNumberFormat="1" applyFont="1" applyFill="1" applyBorder="1"/>
    <xf numFmtId="3" fontId="15" fillId="4" borderId="3" xfId="0" applyNumberFormat="1" applyFont="1" applyFill="1" applyBorder="1"/>
    <xf numFmtId="3" fontId="15" fillId="4" borderId="9" xfId="0" applyNumberFormat="1" applyFont="1" applyFill="1" applyBorder="1"/>
    <xf numFmtId="3" fontId="15" fillId="4" borderId="7" xfId="0" applyNumberFormat="1" applyFont="1" applyFill="1" applyBorder="1"/>
    <xf numFmtId="0" fontId="15" fillId="9" borderId="12" xfId="0" applyFont="1" applyFill="1" applyBorder="1" applyAlignment="1">
      <alignment horizontal="left"/>
    </xf>
    <xf numFmtId="3" fontId="15" fillId="4" borderId="5" xfId="0" applyNumberFormat="1" applyFont="1" applyFill="1" applyBorder="1"/>
    <xf numFmtId="0" fontId="12" fillId="6" borderId="13" xfId="0" applyFont="1" applyFill="1" applyBorder="1"/>
    <xf numFmtId="39" fontId="2" fillId="13" borderId="11" xfId="0" applyNumberFormat="1" applyFont="1" applyFill="1" applyBorder="1" applyAlignment="1">
      <alignment horizontal="left"/>
    </xf>
    <xf numFmtId="4" fontId="15" fillId="4" borderId="5" xfId="0" applyNumberFormat="1" applyFont="1" applyFill="1" applyBorder="1"/>
    <xf numFmtId="4" fontId="15" fillId="4" borderId="7" xfId="0" applyNumberFormat="1" applyFont="1" applyFill="1" applyBorder="1"/>
    <xf numFmtId="4" fontId="15" fillId="4" borderId="0" xfId="0" applyNumberFormat="1" applyFont="1" applyFill="1"/>
    <xf numFmtId="4" fontId="15" fillId="4" borderId="10" xfId="0" applyNumberFormat="1" applyFont="1" applyFill="1" applyBorder="1"/>
    <xf numFmtId="4" fontId="15" fillId="4" borderId="3" xfId="0" applyNumberFormat="1" applyFont="1" applyFill="1" applyBorder="1"/>
    <xf numFmtId="4" fontId="15" fillId="4" borderId="9" xfId="0" applyNumberFormat="1" applyFont="1" applyFill="1" applyBorder="1"/>
    <xf numFmtId="0" fontId="7" fillId="12" borderId="14" xfId="0" applyFont="1" applyFill="1" applyBorder="1"/>
    <xf numFmtId="0" fontId="2" fillId="12" borderId="4" xfId="0" applyFont="1" applyFill="1" applyBorder="1"/>
    <xf numFmtId="0" fontId="7" fillId="5" borderId="14" xfId="0" applyFont="1" applyFill="1" applyBorder="1"/>
    <xf numFmtId="0" fontId="7" fillId="5" borderId="8" xfId="0" applyFont="1" applyFill="1" applyBorder="1"/>
    <xf numFmtId="0" fontId="7" fillId="5" borderId="0" xfId="0" applyFont="1" applyFill="1"/>
    <xf numFmtId="0" fontId="7" fillId="5" borderId="11" xfId="0" applyFont="1" applyFill="1" applyBorder="1"/>
    <xf numFmtId="0" fontId="7" fillId="5" borderId="3" xfId="0" applyFont="1" applyFill="1" applyBorder="1"/>
    <xf numFmtId="10" fontId="2" fillId="0" borderId="0" xfId="0" applyNumberFormat="1" applyFont="1"/>
    <xf numFmtId="10" fontId="2" fillId="0" borderId="0" xfId="1" applyNumberFormat="1" applyFont="1"/>
    <xf numFmtId="14" fontId="2" fillId="0" borderId="8" xfId="0" applyNumberFormat="1" applyFont="1" applyBorder="1"/>
    <xf numFmtId="178" fontId="2" fillId="0" borderId="0" xfId="0" applyNumberFormat="1" applyFont="1"/>
    <xf numFmtId="175" fontId="2" fillId="0" borderId="10" xfId="1" applyNumberFormat="1" applyFont="1" applyBorder="1"/>
    <xf numFmtId="175" fontId="2" fillId="0" borderId="0" xfId="1" applyNumberFormat="1" applyFont="1" applyBorder="1"/>
    <xf numFmtId="179" fontId="2" fillId="0" borderId="10" xfId="1" applyNumberFormat="1" applyFont="1" applyBorder="1"/>
    <xf numFmtId="10" fontId="2" fillId="0" borderId="10" xfId="0" applyNumberFormat="1" applyFont="1" applyBorder="1"/>
    <xf numFmtId="175" fontId="7" fillId="12" borderId="14" xfId="1" applyNumberFormat="1" applyFont="1" applyFill="1" applyBorder="1"/>
    <xf numFmtId="14" fontId="2" fillId="0" borderId="11" xfId="0" applyNumberFormat="1" applyFont="1" applyBorder="1"/>
    <xf numFmtId="178" fontId="2" fillId="0" borderId="3" xfId="0" applyNumberFormat="1" applyFont="1" applyBorder="1"/>
    <xf numFmtId="171" fontId="6" fillId="0" borderId="3" xfId="0" applyNumberFormat="1" applyFont="1" applyBorder="1" applyAlignment="1">
      <alignment horizontal="left" vertical="top"/>
    </xf>
    <xf numFmtId="171" fontId="6" fillId="0" borderId="0" xfId="0" applyNumberFormat="1" applyFont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165" fontId="5" fillId="8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Border="1" applyAlignment="1">
      <alignment horizontal="right" vertical="top" wrapText="1"/>
    </xf>
    <xf numFmtId="177" fontId="6" fillId="0" borderId="0" xfId="0" applyNumberFormat="1" applyFont="1" applyAlignment="1">
      <alignment horizontal="left" vertical="top"/>
    </xf>
    <xf numFmtId="165" fontId="5" fillId="8" borderId="0" xfId="0" applyNumberFormat="1" applyFont="1" applyFill="1" applyAlignment="1">
      <alignment horizontal="right" vertical="top" wrapText="1"/>
    </xf>
    <xf numFmtId="165" fontId="27" fillId="0" borderId="1" xfId="0" applyNumberFormat="1" applyFont="1" applyBorder="1" applyAlignment="1">
      <alignment horizontal="right" vertical="top" wrapText="1"/>
    </xf>
    <xf numFmtId="165" fontId="5" fillId="0" borderId="0" xfId="0" applyNumberFormat="1" applyFont="1" applyAlignment="1">
      <alignment horizontal="right" vertical="top" wrapText="1"/>
    </xf>
    <xf numFmtId="166" fontId="6" fillId="0" borderId="0" xfId="0" applyNumberFormat="1" applyFont="1" applyAlignment="1">
      <alignment horizontal="right" vertical="top" wrapText="1"/>
    </xf>
    <xf numFmtId="167" fontId="6" fillId="0" borderId="0" xfId="0" applyNumberFormat="1" applyFont="1" applyAlignment="1">
      <alignment horizontal="right" vertical="top" wrapText="1"/>
    </xf>
    <xf numFmtId="168" fontId="6" fillId="0" borderId="0" xfId="0" applyNumberFormat="1" applyFont="1" applyAlignment="1">
      <alignment horizontal="right" vertical="top" wrapText="1"/>
    </xf>
    <xf numFmtId="169" fontId="6" fillId="0" borderId="0" xfId="0" applyNumberFormat="1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0" fontId="15" fillId="3" borderId="4" xfId="0" applyFont="1" applyFill="1" applyBorder="1" applyAlignment="1">
      <alignment horizontal="left"/>
    </xf>
    <xf numFmtId="3" fontId="15" fillId="3" borderId="4" xfId="0" applyNumberFormat="1" applyFont="1" applyFill="1" applyBorder="1"/>
    <xf numFmtId="0" fontId="16" fillId="3" borderId="4" xfId="0" applyFont="1" applyFill="1" applyBorder="1" applyAlignment="1">
      <alignment horizontal="left"/>
    </xf>
    <xf numFmtId="0" fontId="15" fillId="3" borderId="4" xfId="0" applyFont="1" applyFill="1" applyBorder="1"/>
    <xf numFmtId="0" fontId="15" fillId="3" borderId="0" xfId="0" applyFont="1" applyFill="1"/>
    <xf numFmtId="3" fontId="15" fillId="3" borderId="0" xfId="0" applyNumberFormat="1" applyFont="1" applyFill="1"/>
    <xf numFmtId="0" fontId="16" fillId="0" borderId="0" xfId="0" applyFont="1" applyAlignment="1">
      <alignment horizontal="right"/>
    </xf>
    <xf numFmtId="9" fontId="8" fillId="4" borderId="7" xfId="0" applyNumberFormat="1" applyFont="1" applyFill="1" applyBorder="1"/>
    <xf numFmtId="10" fontId="8" fillId="4" borderId="10" xfId="0" applyNumberFormat="1" applyFont="1" applyFill="1" applyBorder="1"/>
    <xf numFmtId="10" fontId="8" fillId="4" borderId="9" xfId="0" applyNumberFormat="1" applyFont="1" applyFill="1" applyBorder="1"/>
    <xf numFmtId="39" fontId="8" fillId="0" borderId="9" xfId="0" applyNumberFormat="1" applyFont="1" applyBorder="1"/>
    <xf numFmtId="3" fontId="2" fillId="4" borderId="7" xfId="0" applyNumberFormat="1" applyFont="1" applyFill="1" applyBorder="1"/>
    <xf numFmtId="1" fontId="13" fillId="0" borderId="0" xfId="0" applyNumberFormat="1" applyFont="1"/>
    <xf numFmtId="39" fontId="13" fillId="0" borderId="10" xfId="0" applyNumberFormat="1" applyFont="1" applyBorder="1"/>
    <xf numFmtId="180" fontId="13" fillId="3" borderId="12" xfId="0" applyNumberFormat="1" applyFont="1" applyFill="1" applyBorder="1"/>
    <xf numFmtId="180" fontId="13" fillId="0" borderId="10" xfId="0" applyNumberFormat="1" applyFont="1" applyBorder="1"/>
    <xf numFmtId="10" fontId="13" fillId="3" borderId="12" xfId="1" applyNumberFormat="1" applyFont="1" applyFill="1" applyBorder="1"/>
    <xf numFmtId="0" fontId="17" fillId="14" borderId="0" xfId="0" applyFont="1" applyFill="1" applyAlignment="1">
      <alignment horizontal="center"/>
    </xf>
    <xf numFmtId="0" fontId="13" fillId="0" borderId="10" xfId="0" applyFont="1" applyBorder="1"/>
    <xf numFmtId="3" fontId="13" fillId="0" borderId="10" xfId="0" applyNumberFormat="1" applyFont="1" applyBorder="1"/>
    <xf numFmtId="10" fontId="13" fillId="0" borderId="10" xfId="1" applyNumberFormat="1" applyFont="1" applyBorder="1"/>
    <xf numFmtId="175" fontId="13" fillId="0" borderId="9" xfId="1" applyNumberFormat="1" applyFont="1" applyBorder="1"/>
    <xf numFmtId="175" fontId="14" fillId="12" borderId="12" xfId="0" applyNumberFormat="1" applyFont="1" applyFill="1" applyBorder="1"/>
    <xf numFmtId="10" fontId="13" fillId="0" borderId="7" xfId="0" applyNumberFormat="1" applyFont="1" applyBorder="1"/>
    <xf numFmtId="2" fontId="13" fillId="0" borderId="10" xfId="0" applyNumberFormat="1" applyFont="1" applyBorder="1"/>
    <xf numFmtId="10" fontId="13" fillId="0" borderId="9" xfId="0" applyNumberFormat="1" applyFont="1" applyBorder="1"/>
    <xf numFmtId="10" fontId="14" fillId="5" borderId="12" xfId="0" applyNumberFormat="1" applyFont="1" applyFill="1" applyBorder="1"/>
    <xf numFmtId="3" fontId="14" fillId="0" borderId="7" xfId="0" applyNumberFormat="1" applyFont="1" applyBorder="1"/>
    <xf numFmtId="1" fontId="14" fillId="0" borderId="10" xfId="0" applyNumberFormat="1" applyFont="1" applyBorder="1"/>
    <xf numFmtId="175" fontId="14" fillId="5" borderId="10" xfId="1" applyNumberFormat="1" applyFont="1" applyFill="1" applyBorder="1"/>
    <xf numFmtId="175" fontId="14" fillId="5" borderId="9" xfId="1" applyNumberFormat="1" applyFont="1" applyFill="1" applyBorder="1"/>
    <xf numFmtId="10" fontId="14" fillId="12" borderId="12" xfId="0" applyNumberFormat="1" applyFont="1" applyFill="1" applyBorder="1"/>
    <xf numFmtId="0" fontId="14" fillId="6" borderId="0" xfId="0" applyFont="1" applyFill="1"/>
    <xf numFmtId="0" fontId="14" fillId="6" borderId="7" xfId="0" applyFont="1" applyFill="1" applyBorder="1"/>
    <xf numFmtId="0" fontId="14" fillId="6" borderId="5" xfId="0" applyFont="1" applyFill="1" applyBorder="1"/>
    <xf numFmtId="0" fontId="3" fillId="2" borderId="0" xfId="5" applyFont="1" applyFill="1"/>
    <xf numFmtId="0" fontId="5" fillId="0" borderId="0" xfId="5" applyFont="1" applyAlignment="1">
      <alignment horizontal="left" vertical="top"/>
    </xf>
    <xf numFmtId="0" fontId="6" fillId="0" borderId="0" xfId="5" applyFont="1" applyAlignment="1">
      <alignment horizontal="left" vertical="top"/>
    </xf>
    <xf numFmtId="165" fontId="5" fillId="0" borderId="0" xfId="5" applyNumberFormat="1" applyFont="1" applyAlignment="1">
      <alignment horizontal="right" vertical="top" wrapText="1"/>
    </xf>
    <xf numFmtId="165" fontId="6" fillId="0" borderId="0" xfId="5" applyNumberFormat="1" applyFont="1" applyAlignment="1">
      <alignment horizontal="right" vertical="top" wrapText="1"/>
    </xf>
    <xf numFmtId="165" fontId="5" fillId="0" borderId="1" xfId="5" applyNumberFormat="1" applyFont="1" applyBorder="1" applyAlignment="1">
      <alignment horizontal="right" vertical="top" wrapText="1"/>
    </xf>
    <xf numFmtId="170" fontId="6" fillId="0" borderId="0" xfId="5" applyNumberFormat="1" applyFont="1" applyAlignment="1">
      <alignment horizontal="right" vertical="top" wrapText="1"/>
    </xf>
    <xf numFmtId="49" fontId="6" fillId="0" borderId="0" xfId="5" applyNumberFormat="1" applyFont="1" applyAlignment="1">
      <alignment horizontal="right" vertical="top" wrapText="1"/>
    </xf>
    <xf numFmtId="0" fontId="43" fillId="0" borderId="0" xfId="4" applyFont="1" applyAlignment="1"/>
    <xf numFmtId="0" fontId="6" fillId="0" borderId="0" xfId="5" applyFont="1" applyAlignment="1">
      <alignment horizontal="center" vertical="center" wrapText="1"/>
    </xf>
    <xf numFmtId="0" fontId="13" fillId="0" borderId="0" xfId="5" applyFont="1" applyAlignment="1">
      <alignment vertical="top" wrapText="1"/>
    </xf>
    <xf numFmtId="0" fontId="5" fillId="0" borderId="5" xfId="0" applyFont="1" applyBorder="1" applyAlignment="1">
      <alignment horizontal="left"/>
    </xf>
    <xf numFmtId="0" fontId="7" fillId="12" borderId="5" xfId="0" applyFont="1" applyFill="1" applyBorder="1"/>
    <xf numFmtId="37" fontId="7" fillId="12" borderId="5" xfId="0" applyNumberFormat="1" applyFont="1" applyFill="1" applyBorder="1"/>
    <xf numFmtId="180" fontId="2" fillId="5" borderId="4" xfId="0" applyNumberFormat="1" applyFont="1" applyFill="1" applyBorder="1"/>
    <xf numFmtId="10" fontId="15" fillId="0" borderId="0" xfId="0" applyNumberFormat="1" applyFont="1"/>
    <xf numFmtId="4" fontId="2" fillId="0" borderId="14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0" fontId="12" fillId="6" borderId="0" xfId="0" applyNumberFormat="1" applyFont="1" applyFill="1"/>
    <xf numFmtId="0" fontId="45" fillId="6" borderId="0" xfId="0" applyFont="1" applyFill="1"/>
    <xf numFmtId="0" fontId="44" fillId="6" borderId="0" xfId="0" applyFont="1" applyFill="1"/>
    <xf numFmtId="9" fontId="2" fillId="0" borderId="0" xfId="1" applyFont="1"/>
    <xf numFmtId="2" fontId="18" fillId="14" borderId="0" xfId="0" applyNumberFormat="1" applyFont="1" applyFill="1"/>
    <xf numFmtId="10" fontId="12" fillId="6" borderId="0" xfId="1" applyNumberFormat="1" applyFont="1" applyFill="1"/>
    <xf numFmtId="0" fontId="46" fillId="6" borderId="0" xfId="0" applyFont="1" applyFill="1"/>
    <xf numFmtId="0" fontId="47" fillId="0" borderId="8" xfId="0" applyFont="1" applyBorder="1"/>
    <xf numFmtId="37" fontId="47" fillId="0" borderId="10" xfId="0" applyNumberFormat="1" applyFont="1" applyBorder="1"/>
    <xf numFmtId="0" fontId="47" fillId="3" borderId="14" xfId="0" applyFont="1" applyFill="1" applyBorder="1"/>
    <xf numFmtId="180" fontId="48" fillId="3" borderId="12" xfId="0" applyNumberFormat="1" applyFont="1" applyFill="1" applyBorder="1"/>
    <xf numFmtId="180" fontId="48" fillId="0" borderId="10" xfId="0" applyNumberFormat="1" applyFont="1" applyBorder="1"/>
    <xf numFmtId="10" fontId="48" fillId="3" borderId="12" xfId="1" applyNumberFormat="1" applyFont="1" applyFill="1" applyBorder="1"/>
    <xf numFmtId="10" fontId="7" fillId="12" borderId="12" xfId="1" applyNumberFormat="1" applyFont="1" applyFill="1" applyBorder="1"/>
    <xf numFmtId="0" fontId="4" fillId="0" borderId="3" xfId="2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12" fillId="7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0" xfId="0" applyFont="1" applyAlignment="1"/>
  </cellXfs>
  <cellStyles count="23">
    <cellStyle name="ChartingText" xfId="18" xr:uid="{A2F7297D-31FC-4DD6-BC96-0750B188B049}"/>
    <cellStyle name="CHPAboveAverage" xfId="19" xr:uid="{8DF9347A-E00A-4047-8454-7ED97EC01326}"/>
    <cellStyle name="CHPBelowAverage" xfId="19" xr:uid="{46A94D89-B251-41DC-AA97-FBEC73E50132}"/>
    <cellStyle name="CHPBottom" xfId="19" xr:uid="{0C7D764F-9BD4-44FC-B23A-4441BAA53A81}"/>
    <cellStyle name="CHPTop" xfId="19" xr:uid="{E83B8383-BD5C-458A-886C-75EEA626792F}"/>
    <cellStyle name="ColumnHeaderNormal" xfId="11" xr:uid="{E96C42C5-7F60-46A4-A823-840AF9AD246D}"/>
    <cellStyle name="Hyperlink" xfId="3" builtinId="8"/>
    <cellStyle name="Invisible" xfId="4" xr:uid="{AE3DC0C9-F653-41E5-9F8C-0E343CD091AB}"/>
    <cellStyle name="NewColumnHeaderNormal" xfId="9" xr:uid="{8E4D3468-51FC-4F0B-8981-DC43EF1BBA01}"/>
    <cellStyle name="NewSectionHeaderNormal" xfId="8" xr:uid="{F0853B56-E183-45B1-9AB6-A029ADC5B658}"/>
    <cellStyle name="NewTitleNormal" xfId="7" xr:uid="{16C26F40-3EED-4A75-A810-93ADA675E101}"/>
    <cellStyle name="Normal" xfId="0" builtinId="0"/>
    <cellStyle name="Normal 2" xfId="5" xr:uid="{0112396D-8D03-4A03-B673-583276901DC7}"/>
    <cellStyle name="Normal 7" xfId="2" xr:uid="{E592CD7B-DC01-450D-93B6-0A6F83AD0DF2}"/>
    <cellStyle name="Percent" xfId="1" builtinId="5"/>
    <cellStyle name="SectionHeaderNormal" xfId="10" xr:uid="{2745D594-4E6C-4A9D-A109-B26202057EFC}"/>
    <cellStyle name="SubScript" xfId="14" xr:uid="{1341437D-F971-4CA8-8DE2-17DF1FF9E0F9}"/>
    <cellStyle name="SuperScript" xfId="13" xr:uid="{BB3CF457-06AC-44CB-9A65-208CE4F996D6}"/>
    <cellStyle name="TextBold" xfId="15" xr:uid="{813D7BD2-2079-418D-AD3B-53E2CE824773}"/>
    <cellStyle name="TextItalic" xfId="16" xr:uid="{EC280FDF-B590-4C8F-B319-8DABA26A2B34}"/>
    <cellStyle name="TextNormal" xfId="12" xr:uid="{9616D1A5-B901-4B5D-9A4F-D254597CD62B}"/>
    <cellStyle name="TitleNormal" xfId="6" xr:uid="{476C2FEC-AF88-4A42-97F8-F7678245527C}"/>
    <cellStyle name="Total 2" xfId="17" xr:uid="{F331E232-2D6F-4045-A568-D3A73493157E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S&amp;P 500 vs. DELL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68635170603674"/>
                  <c:y val="-0.2020100612423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450131233595799E-2"/>
                  <c:y val="-0.12793598716827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'Beta Calculation'!$D$6:$D$64</c:f>
              <c:numCache>
                <c:formatCode>0.0%</c:formatCode>
                <c:ptCount val="59"/>
                <c:pt idx="0">
                  <c:v>2.1945775119777106E-2</c:v>
                </c:pt>
                <c:pt idx="1">
                  <c:v>7.1010009917127692E-2</c:v>
                </c:pt>
                <c:pt idx="2">
                  <c:v>-5.0925014223087976E-2</c:v>
                </c:pt>
                <c:pt idx="3">
                  <c:v>2.9325649447784548E-2</c:v>
                </c:pt>
                <c:pt idx="4">
                  <c:v>2.7385502894219139E-2</c:v>
                </c:pt>
                <c:pt idx="5">
                  <c:v>1.8913436070459984E-2</c:v>
                </c:pt>
                <c:pt idx="6">
                  <c:v>6.5445751633580887E-3</c:v>
                </c:pt>
                <c:pt idx="7">
                  <c:v>5.4828053369233895E-2</c:v>
                </c:pt>
                <c:pt idx="8">
                  <c:v>4.1129069209196734E-2</c:v>
                </c:pt>
                <c:pt idx="9">
                  <c:v>2.7425890381574666E-2</c:v>
                </c:pt>
                <c:pt idx="10">
                  <c:v>-5.9891185838041143E-3</c:v>
                </c:pt>
                <c:pt idx="11">
                  <c:v>3.2124981995471612E-2</c:v>
                </c:pt>
                <c:pt idx="12">
                  <c:v>0.10325744423215691</c:v>
                </c:pt>
                <c:pt idx="13">
                  <c:v>-2.1254718157731108E-2</c:v>
                </c:pt>
                <c:pt idx="14">
                  <c:v>-4.2157463277830966E-2</c:v>
                </c:pt>
                <c:pt idx="15">
                  <c:v>6.7468566542943434E-2</c:v>
                </c:pt>
                <c:pt idx="16">
                  <c:v>6.1614059563625312E-2</c:v>
                </c:pt>
                <c:pt idx="17">
                  <c:v>1.3188084279165064E-2</c:v>
                </c:pt>
                <c:pt idx="18">
                  <c:v>4.654516700218353E-2</c:v>
                </c:pt>
                <c:pt idx="19">
                  <c:v>0.12540770288054209</c:v>
                </c:pt>
                <c:pt idx="20">
                  <c:v>-0.13924737006895196</c:v>
                </c:pt>
                <c:pt idx="21">
                  <c:v>-8.2475163966408707E-2</c:v>
                </c:pt>
                <c:pt idx="22">
                  <c:v>4.5004394268857882E-3</c:v>
                </c:pt>
                <c:pt idx="23">
                  <c:v>2.3736750876572118E-2</c:v>
                </c:pt>
                <c:pt idx="24">
                  <c:v>3.5558855714728319E-2</c:v>
                </c:pt>
                <c:pt idx="25">
                  <c:v>2.6470937767130227E-2</c:v>
                </c:pt>
                <c:pt idx="26">
                  <c:v>1.4663638753947094E-2</c:v>
                </c:pt>
                <c:pt idx="27">
                  <c:v>-1.6885148751518121E-2</c:v>
                </c:pt>
                <c:pt idx="28">
                  <c:v>1.9858247402045798E-2</c:v>
                </c:pt>
                <c:pt idx="29">
                  <c:v>6.2420259533143334E-2</c:v>
                </c:pt>
                <c:pt idx="30">
                  <c:v>-6.5895291577430445E-2</c:v>
                </c:pt>
                <c:pt idx="31">
                  <c:v>4.4434931667641772E-2</c:v>
                </c:pt>
                <c:pt idx="32">
                  <c:v>1.3543477510167505E-2</c:v>
                </c:pt>
                <c:pt idx="33">
                  <c:v>3.1901732941718254E-2</c:v>
                </c:pt>
                <c:pt idx="34">
                  <c:v>8.2844403375114811E-2</c:v>
                </c:pt>
                <c:pt idx="35">
                  <c:v>-9.7991110364975681E-2</c:v>
                </c:pt>
                <c:pt idx="36">
                  <c:v>1.8379441073641093E-2</c:v>
                </c:pt>
                <c:pt idx="37">
                  <c:v>-6.7091374924886329E-2</c:v>
                </c:pt>
                <c:pt idx="38">
                  <c:v>1.4112590375583056E-3</c:v>
                </c:pt>
                <c:pt idx="39">
                  <c:v>3.142086100649872E-2</c:v>
                </c:pt>
                <c:pt idx="40">
                  <c:v>4.0857240135615744E-2</c:v>
                </c:pt>
                <c:pt idx="41">
                  <c:v>1.253891289318799E-3</c:v>
                </c:pt>
                <c:pt idx="42">
                  <c:v>2.4018310875824896E-2</c:v>
                </c:pt>
                <c:pt idx="43">
                  <c:v>9.1522539565941936E-3</c:v>
                </c:pt>
                <c:pt idx="44">
                  <c:v>-3.1790443050660172E-2</c:v>
                </c:pt>
                <c:pt idx="45">
                  <c:v>-3.7038151893316246E-2</c:v>
                </c:pt>
                <c:pt idx="46">
                  <c:v>5.9926929066447185E-2</c:v>
                </c:pt>
                <c:pt idx="47">
                  <c:v>6.9564910962898741E-3</c:v>
                </c:pt>
                <c:pt idx="48">
                  <c:v>3.0108130853488523E-2</c:v>
                </c:pt>
                <c:pt idx="49">
                  <c:v>2.8241215738422157E-2</c:v>
                </c:pt>
                <c:pt idx="50">
                  <c:v>1.499844954054641E-2</c:v>
                </c:pt>
                <c:pt idx="51">
                  <c:v>2.9136007942559194E-3</c:v>
                </c:pt>
                <c:pt idx="52">
                  <c:v>2.5210531791515872E-2</c:v>
                </c:pt>
                <c:pt idx="53">
                  <c:v>1.4899943453310905E-3</c:v>
                </c:pt>
                <c:pt idx="54">
                  <c:v>1.4014071350333357E-2</c:v>
                </c:pt>
                <c:pt idx="55">
                  <c:v>1.4218262238661215E-2</c:v>
                </c:pt>
                <c:pt idx="56">
                  <c:v>-3.0917187200211896E-3</c:v>
                </c:pt>
                <c:pt idx="57">
                  <c:v>3.8539281471672938E-2</c:v>
                </c:pt>
                <c:pt idx="58">
                  <c:v>2.3613374613423829E-2</c:v>
                </c:pt>
              </c:numCache>
            </c:numRef>
          </c:xVal>
          <c:yVal>
            <c:numRef>
              <c:f>'Beta Calculation'!$E$6:$E$64</c:f>
              <c:numCache>
                <c:formatCode>0.0%</c:formatCode>
                <c:ptCount val="59"/>
                <c:pt idx="0">
                  <c:v>2.7466371748413165E-2</c:v>
                </c:pt>
                <c:pt idx="1">
                  <c:v>5.561402828518372E-2</c:v>
                </c:pt>
                <c:pt idx="2">
                  <c:v>6.5333387302850973E-2</c:v>
                </c:pt>
                <c:pt idx="3">
                  <c:v>8.656266115759037E-3</c:v>
                </c:pt>
                <c:pt idx="4">
                  <c:v>-3.1078944778070546E-2</c:v>
                </c:pt>
                <c:pt idx="5">
                  <c:v>1.0387897307731759E-2</c:v>
                </c:pt>
                <c:pt idx="6">
                  <c:v>3.1476473179024955E-3</c:v>
                </c:pt>
                <c:pt idx="7">
                  <c:v>0.10928929564651368</c:v>
                </c:pt>
                <c:pt idx="8">
                  <c:v>8.3726932130256795E-2</c:v>
                </c:pt>
                <c:pt idx="9">
                  <c:v>0.10636148321523438</c:v>
                </c:pt>
                <c:pt idx="10">
                  <c:v>-5.4726929269184729E-3</c:v>
                </c:pt>
                <c:pt idx="11">
                  <c:v>5.988299611578498E-2</c:v>
                </c:pt>
                <c:pt idx="12">
                  <c:v>0.13587267593652469</c:v>
                </c:pt>
                <c:pt idx="13">
                  <c:v>-0.1162699347534991</c:v>
                </c:pt>
                <c:pt idx="14">
                  <c:v>2.4072234022365101E-2</c:v>
                </c:pt>
                <c:pt idx="15">
                  <c:v>9.9358987115559155E-2</c:v>
                </c:pt>
                <c:pt idx="16">
                  <c:v>8.5265484016274123E-2</c:v>
                </c:pt>
                <c:pt idx="17">
                  <c:v>0.10144477295424784</c:v>
                </c:pt>
                <c:pt idx="18">
                  <c:v>0.15083228558915343</c:v>
                </c:pt>
                <c:pt idx="19">
                  <c:v>7.639895742955706E-2</c:v>
                </c:pt>
                <c:pt idx="20">
                  <c:v>-2.2748110079884608E-2</c:v>
                </c:pt>
                <c:pt idx="21">
                  <c:v>-0.18680153656253043</c:v>
                </c:pt>
                <c:pt idx="22">
                  <c:v>-5.232823171514752E-2</c:v>
                </c:pt>
                <c:pt idx="23">
                  <c:v>5.808593458211235E-2</c:v>
                </c:pt>
                <c:pt idx="24">
                  <c:v>-8.6856598381563691E-2</c:v>
                </c:pt>
                <c:pt idx="25">
                  <c:v>1.9666481280223719E-2</c:v>
                </c:pt>
                <c:pt idx="26">
                  <c:v>6.3836568192142075E-3</c:v>
                </c:pt>
                <c:pt idx="27">
                  <c:v>-0.11378608167445965</c:v>
                </c:pt>
                <c:pt idx="28">
                  <c:v>0.12805381519743614</c:v>
                </c:pt>
                <c:pt idx="29">
                  <c:v>-0.15891991333527083</c:v>
                </c:pt>
                <c:pt idx="30">
                  <c:v>-0.12397710802304968</c:v>
                </c:pt>
                <c:pt idx="31">
                  <c:v>0.1385240682051343</c:v>
                </c:pt>
                <c:pt idx="32">
                  <c:v>5.0137106389243402E-2</c:v>
                </c:pt>
                <c:pt idx="33">
                  <c:v>0.13871442596976566</c:v>
                </c:pt>
                <c:pt idx="34">
                  <c:v>-5.7458873373401817E-3</c:v>
                </c:pt>
                <c:pt idx="35">
                  <c:v>-0.17824323427722299</c:v>
                </c:pt>
                <c:pt idx="36">
                  <c:v>0.15438775040632696</c:v>
                </c:pt>
                <c:pt idx="37">
                  <c:v>-7.1813667077206197E-2</c:v>
                </c:pt>
                <c:pt idx="38">
                  <c:v>9.8298528193297412E-3</c:v>
                </c:pt>
                <c:pt idx="39">
                  <c:v>3.8692614525135019E-2</c:v>
                </c:pt>
                <c:pt idx="40">
                  <c:v>8.9726993489006743E-2</c:v>
                </c:pt>
                <c:pt idx="41">
                  <c:v>4.7454999624385534E-2</c:v>
                </c:pt>
                <c:pt idx="42">
                  <c:v>0.11677628514215983</c:v>
                </c:pt>
                <c:pt idx="43">
                  <c:v>-1.9865471921025238E-2</c:v>
                </c:pt>
                <c:pt idx="44">
                  <c:v>-1.4644324545639971E-2</c:v>
                </c:pt>
                <c:pt idx="45">
                  <c:v>3.548560767871993E-2</c:v>
                </c:pt>
                <c:pt idx="46">
                  <c:v>-0.12540924474783796</c:v>
                </c:pt>
                <c:pt idx="47">
                  <c:v>3.8118885755731566E-2</c:v>
                </c:pt>
                <c:pt idx="48">
                  <c:v>-5.6284579431960545E-2</c:v>
                </c:pt>
                <c:pt idx="49">
                  <c:v>6.9536717721253791E-2</c:v>
                </c:pt>
                <c:pt idx="50">
                  <c:v>2.9974665192257492E-2</c:v>
                </c:pt>
                <c:pt idx="51">
                  <c:v>0.15346139700181721</c:v>
                </c:pt>
                <c:pt idx="52">
                  <c:v>5.0417395722007499E-2</c:v>
                </c:pt>
                <c:pt idx="53">
                  <c:v>-0.12706734409314291</c:v>
                </c:pt>
                <c:pt idx="54">
                  <c:v>3.3409727644856738E-2</c:v>
                </c:pt>
                <c:pt idx="55">
                  <c:v>4.6200805979427176E-2</c:v>
                </c:pt>
                <c:pt idx="56">
                  <c:v>9.2498483702119876E-3</c:v>
                </c:pt>
                <c:pt idx="57">
                  <c:v>7.9065531808910055E-3</c:v>
                </c:pt>
                <c:pt idx="58">
                  <c:v>0.13618829638387442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E-4E31-A968-69BB141C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87087"/>
        <c:axId val="2003787503"/>
      </c:scatterChart>
      <c:valAx>
        <c:axId val="2003787087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87503"/>
        <c:crosses val="autoZero"/>
        <c:crossBetween val="midCat"/>
      </c:valAx>
      <c:valAx>
        <c:axId val="200378750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627024</xdr:colOff>
      <xdr:row>6</xdr:row>
      <xdr:rowOff>119025</xdr:rowOff>
    </xdr:from>
    <xdr:to>
      <xdr:col>7</xdr:col>
      <xdr:colOff>193893</xdr:colOff>
      <xdr:row>9</xdr:row>
      <xdr:rowOff>74074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5C161F-B2F3-8A4F-BAA4-C908548A1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024" y="1532590"/>
          <a:ext cx="5580043" cy="687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12</xdr:row>
      <xdr:rowOff>22225</xdr:rowOff>
    </xdr:from>
    <xdr:to>
      <xdr:col>9</xdr:col>
      <xdr:colOff>600075</xdr:colOff>
      <xdr:row>27</xdr:row>
      <xdr:rowOff>3175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144B010B-F13B-41E0-BF61-2D8B70A8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%20Lim/Downloads/TRP-RSM332H-Automated-Model%20(1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cars/Downloads/TRP-RSM332H-Unlinked-Model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tart of CapitalIQ Linked Model"/>
      <sheetName val="Assumptions"/>
      <sheetName val="_CIQHiddenCacheSheet"/>
      <sheetName val="3 Statements Model"/>
      <sheetName val="Capital Expenditure Schedule"/>
      <sheetName val="Revenue Model"/>
      <sheetName val="Comparables Table"/>
      <sheetName val="Beta Table"/>
      <sheetName val="WACC Schedule"/>
      <sheetName val="Formula Inputs"/>
      <sheetName val="Historical Statements -&gt;"/>
      <sheetName val="Balance Sheet"/>
      <sheetName val="Income Statement"/>
      <sheetName val="Cash Flow Statement"/>
      <sheetName val="ERP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tart of CapitalIQ Linked Model"/>
      <sheetName val="Assumptions"/>
      <sheetName val="_CIQHiddenCacheSheet"/>
      <sheetName val="3 Statements Model"/>
      <sheetName val="Sheet2"/>
      <sheetName val="Sheet1"/>
      <sheetName val="Capital Expenditure Schedule"/>
      <sheetName val="Revenue Model"/>
      <sheetName val="Comparables Table"/>
      <sheetName val="Beta Table"/>
      <sheetName val="WACC Schedule"/>
      <sheetName val="Formula Inputs"/>
      <sheetName val="Historical Statements -&gt;"/>
      <sheetName val="Balance Sheet"/>
      <sheetName val="Income Statement"/>
      <sheetName val="Cash Flow Statement"/>
      <sheetName val="ERP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2">
          <cell r="E32">
            <v>5.96E-2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8B6F-4481-4955-AC16-5620D29DB4EA}">
  <dimension ref="A4:J22"/>
  <sheetViews>
    <sheetView showGridLines="0" zoomScale="115" workbookViewId="0">
      <selection activeCell="I7" sqref="I7"/>
    </sheetView>
  </sheetViews>
  <sheetFormatPr defaultColWidth="8.85546875" defaultRowHeight="16.5" x14ac:dyDescent="0.3"/>
  <cols>
    <col min="1" max="1" width="8.85546875" style="76"/>
    <col min="2" max="2" width="20.140625" style="76" customWidth="1"/>
    <col min="3" max="3" width="14.85546875" style="76" bestFit="1" customWidth="1"/>
    <col min="4" max="7" width="8.85546875" style="76"/>
    <col min="8" max="8" width="20.42578125" style="76" bestFit="1" customWidth="1"/>
    <col min="9" max="9" width="13.42578125" style="76" bestFit="1" customWidth="1"/>
    <col min="10" max="16384" width="8.85546875" style="76"/>
  </cols>
  <sheetData>
    <row r="4" spans="1:10" x14ac:dyDescent="0.3">
      <c r="A4"/>
      <c r="B4"/>
      <c r="C4"/>
      <c r="D4"/>
      <c r="E4"/>
      <c r="F4"/>
      <c r="G4"/>
      <c r="H4"/>
    </row>
    <row r="5" spans="1:10" ht="18.75" x14ac:dyDescent="0.3">
      <c r="A5"/>
      <c r="B5"/>
      <c r="C5"/>
      <c r="D5"/>
      <c r="E5"/>
      <c r="F5"/>
      <c r="G5"/>
      <c r="H5"/>
      <c r="I5" s="203"/>
    </row>
    <row r="6" spans="1:10" ht="18.75" x14ac:dyDescent="0.3">
      <c r="A6"/>
      <c r="B6"/>
      <c r="C6"/>
      <c r="D6"/>
      <c r="E6"/>
      <c r="F6"/>
      <c r="G6"/>
      <c r="H6"/>
      <c r="I6" s="203"/>
    </row>
    <row r="7" spans="1:10" ht="19.5" x14ac:dyDescent="0.35">
      <c r="B7" s="204"/>
      <c r="H7" s="202"/>
      <c r="I7" s="202"/>
    </row>
    <row r="8" spans="1:10" ht="18.75" x14ac:dyDescent="0.3">
      <c r="H8" s="205"/>
      <c r="I8" s="202"/>
    </row>
    <row r="9" spans="1:10" ht="18.75" x14ac:dyDescent="0.3">
      <c r="H9" s="205"/>
    </row>
    <row r="11" spans="1:10" ht="18" x14ac:dyDescent="0.35">
      <c r="F11" s="206"/>
      <c r="H11" s="206"/>
    </row>
    <row r="12" spans="1:10" ht="18" x14ac:dyDescent="0.35">
      <c r="H12" s="206"/>
      <c r="I12" s="207" t="s">
        <v>0</v>
      </c>
      <c r="J12" s="208"/>
    </row>
    <row r="13" spans="1:10" ht="18" x14ac:dyDescent="0.35">
      <c r="B13" s="343" t="s">
        <v>7</v>
      </c>
      <c r="C13" s="343"/>
      <c r="H13" s="206"/>
      <c r="I13" s="209" t="s">
        <v>1</v>
      </c>
      <c r="J13" s="210"/>
    </row>
    <row r="14" spans="1:10" ht="18" x14ac:dyDescent="0.35">
      <c r="B14" s="344" t="s">
        <v>8</v>
      </c>
      <c r="C14" s="345">
        <f>'3 Statement Model '!C163</f>
        <v>54411.812761230511</v>
      </c>
      <c r="H14" s="206"/>
      <c r="I14" s="209" t="s">
        <v>2</v>
      </c>
      <c r="J14" s="208"/>
    </row>
    <row r="15" spans="1:10" ht="18" x14ac:dyDescent="0.35">
      <c r="B15" s="346" t="s">
        <v>7</v>
      </c>
      <c r="C15" s="347">
        <f>'3 Statement Model '!C165</f>
        <v>70.960514301478256</v>
      </c>
      <c r="H15" s="206"/>
      <c r="I15" s="209" t="s">
        <v>3</v>
      </c>
      <c r="J15" s="208"/>
    </row>
    <row r="16" spans="1:10" ht="18" x14ac:dyDescent="0.35">
      <c r="B16" s="344" t="s">
        <v>13</v>
      </c>
      <c r="C16" s="348">
        <f>Assumptions!J6</f>
        <v>56.18</v>
      </c>
      <c r="H16" s="206"/>
      <c r="I16" s="209" t="s">
        <v>4</v>
      </c>
      <c r="J16" s="211"/>
    </row>
    <row r="17" spans="1:10" ht="18" x14ac:dyDescent="0.35">
      <c r="B17" s="346" t="s">
        <v>14</v>
      </c>
      <c r="C17" s="349">
        <f>C15/C16-1</f>
        <v>0.26309210219790424</v>
      </c>
      <c r="H17" s="206"/>
      <c r="I17" s="209" t="s">
        <v>5</v>
      </c>
      <c r="J17" s="212"/>
    </row>
    <row r="18" spans="1:10" ht="18" x14ac:dyDescent="0.35">
      <c r="H18" s="206"/>
      <c r="I18" s="209" t="s">
        <v>6</v>
      </c>
      <c r="J18" s="213"/>
    </row>
    <row r="19" spans="1:10" x14ac:dyDescent="0.3">
      <c r="A19"/>
      <c r="B19"/>
      <c r="C19"/>
      <c r="D19"/>
      <c r="E19"/>
    </row>
    <row r="20" spans="1:10" x14ac:dyDescent="0.3">
      <c r="A20"/>
      <c r="B20"/>
      <c r="C20"/>
      <c r="D20"/>
      <c r="E20"/>
      <c r="I20" s="207" t="s">
        <v>9</v>
      </c>
    </row>
    <row r="21" spans="1:10" ht="18" x14ac:dyDescent="0.35">
      <c r="I21" s="209" t="s">
        <v>11</v>
      </c>
    </row>
    <row r="22" spans="1:10" ht="18" x14ac:dyDescent="0.35">
      <c r="I22" s="209" t="s">
        <v>12</v>
      </c>
    </row>
  </sheetData>
  <conditionalFormatting sqref="J18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I13" location="Assumptions!A1" display="Assumptions" xr:uid="{87A66020-2866-9944-B1D7-157A11C80907}"/>
    <hyperlink ref="I14" location="'3 Statement Model'!A1" display="3 Statement Model" xr:uid="{93B8E383-C23F-7F4B-A56B-48EB6F0535FC}"/>
    <hyperlink ref="I16" location="'WACC Calculation'!A1" display="WACC" xr:uid="{7D2DAB4A-97EC-F644-9F7E-E21F32E32237}"/>
    <hyperlink ref="I15" location="'Comparable Companies'!A1" display="Comparables" xr:uid="{D940E1BA-E132-374D-92AD-20F49D8E9C23}"/>
    <hyperlink ref="I17" location="'Beta Calculation'!A1" display="Beta" xr:uid="{F0012423-6C59-9249-A60C-3CF6DD32CC4C}"/>
    <hyperlink ref="I18" location="'Revenue Model'!A1" display="Revenue Model" xr:uid="{8431C09C-7C0D-CB42-9D98-5C5A68EA4546}"/>
    <hyperlink ref="I21" location="'Income Statement'!A1" display="Income Statement" xr:uid="{788E4812-AF92-0D4F-9035-D07B458DE20F}"/>
    <hyperlink ref="I22" location="'Balance Sheet'!A1" display="Balance Sheet" xr:uid="{1BFC440E-0D17-D948-9F60-DC7009A50D71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6A2-2834-4F96-875E-BD8E260E23F5}">
  <dimension ref="B2:G100"/>
  <sheetViews>
    <sheetView showGridLines="0" workbookViewId="0">
      <selection sqref="A1:XFD1048576"/>
    </sheetView>
  </sheetViews>
  <sheetFormatPr defaultColWidth="8.85546875" defaultRowHeight="16.5" x14ac:dyDescent="0.3"/>
  <cols>
    <col min="1" max="1" width="8.85546875" style="1"/>
    <col min="2" max="2" width="32.85546875" style="1" bestFit="1" customWidth="1"/>
    <col min="3" max="7" width="12.140625" style="1" bestFit="1" customWidth="1"/>
    <col min="8" max="16384" width="8.85546875" style="1"/>
  </cols>
  <sheetData>
    <row r="2" spans="2:7" x14ac:dyDescent="0.3">
      <c r="B2" s="226" t="s">
        <v>11</v>
      </c>
      <c r="C2" s="226"/>
      <c r="D2" s="226"/>
      <c r="E2" s="226"/>
      <c r="F2" s="226"/>
      <c r="G2" s="226"/>
    </row>
    <row r="3" spans="2:7" x14ac:dyDescent="0.3">
      <c r="B3" s="6" t="s">
        <v>154</v>
      </c>
      <c r="C3" s="7">
        <v>42769</v>
      </c>
      <c r="D3" s="7">
        <v>43133</v>
      </c>
      <c r="E3" s="7">
        <v>42767</v>
      </c>
      <c r="F3" s="8">
        <v>43861</v>
      </c>
      <c r="G3" s="7">
        <v>44225</v>
      </c>
    </row>
    <row r="4" spans="2:7" x14ac:dyDescent="0.3">
      <c r="B4" s="49" t="s">
        <v>156</v>
      </c>
      <c r="C4" s="270">
        <v>43100</v>
      </c>
      <c r="D4" s="270">
        <f>EOMONTH(C4,12)</f>
        <v>43465</v>
      </c>
      <c r="E4" s="270">
        <f t="shared" ref="E4:F4" si="0">EOMONTH(D4,12)</f>
        <v>43830</v>
      </c>
      <c r="F4" s="270">
        <f t="shared" si="0"/>
        <v>44196</v>
      </c>
      <c r="G4" s="270">
        <f>EOMONTH(F4,12)</f>
        <v>44561</v>
      </c>
    </row>
    <row r="5" spans="2:7" x14ac:dyDescent="0.3">
      <c r="B5" s="6"/>
      <c r="C5" s="271"/>
      <c r="D5" s="271"/>
      <c r="E5" s="271"/>
      <c r="F5" s="271"/>
      <c r="G5" s="271"/>
    </row>
    <row r="6" spans="2:7" x14ac:dyDescent="0.3">
      <c r="B6" s="42" t="s">
        <v>54</v>
      </c>
      <c r="C6" s="23">
        <v>62164</v>
      </c>
      <c r="D6" s="23">
        <v>79040</v>
      </c>
      <c r="E6" s="23">
        <v>90621</v>
      </c>
      <c r="F6" s="23">
        <v>92154</v>
      </c>
      <c r="G6" s="23">
        <v>94224</v>
      </c>
    </row>
    <row r="7" spans="2:7" x14ac:dyDescent="0.3">
      <c r="B7" s="42" t="s">
        <v>288</v>
      </c>
      <c r="C7" s="23" t="s">
        <v>128</v>
      </c>
      <c r="D7" s="23" t="s">
        <v>128</v>
      </c>
      <c r="E7" s="23" t="s">
        <v>128</v>
      </c>
      <c r="F7" s="23" t="s">
        <v>128</v>
      </c>
      <c r="G7" s="23" t="s">
        <v>128</v>
      </c>
    </row>
    <row r="8" spans="2:7" x14ac:dyDescent="0.3">
      <c r="B8" s="272" t="s">
        <v>289</v>
      </c>
      <c r="C8" s="273">
        <v>62164</v>
      </c>
      <c r="D8" s="273">
        <v>79040</v>
      </c>
      <c r="E8" s="273">
        <v>90621</v>
      </c>
      <c r="F8" s="273">
        <v>92154</v>
      </c>
      <c r="G8" s="273">
        <v>94224</v>
      </c>
    </row>
    <row r="9" spans="2:7" x14ac:dyDescent="0.3">
      <c r="B9" s="42"/>
      <c r="C9" s="42"/>
      <c r="D9" s="42"/>
      <c r="E9" s="42"/>
      <c r="F9" s="42"/>
      <c r="G9" s="42"/>
    </row>
    <row r="10" spans="2:7" x14ac:dyDescent="0.3">
      <c r="B10" s="42" t="s">
        <v>290</v>
      </c>
      <c r="C10" s="23">
        <v>48472</v>
      </c>
      <c r="D10" s="23">
        <v>58479</v>
      </c>
      <c r="E10" s="23">
        <v>65355</v>
      </c>
      <c r="F10" s="23">
        <v>63226</v>
      </c>
      <c r="G10" s="23">
        <v>64807</v>
      </c>
    </row>
    <row r="11" spans="2:7" x14ac:dyDescent="0.3">
      <c r="B11" s="272" t="s">
        <v>291</v>
      </c>
      <c r="C11" s="273">
        <v>13692</v>
      </c>
      <c r="D11" s="273">
        <v>20561</v>
      </c>
      <c r="E11" s="273">
        <v>25266</v>
      </c>
      <c r="F11" s="273">
        <v>28928</v>
      </c>
      <c r="G11" s="273">
        <v>29417</v>
      </c>
    </row>
    <row r="12" spans="2:7" x14ac:dyDescent="0.3">
      <c r="B12" s="42"/>
      <c r="C12" s="42"/>
      <c r="D12" s="42"/>
      <c r="E12" s="42"/>
      <c r="F12" s="42"/>
      <c r="G12" s="42"/>
    </row>
    <row r="13" spans="2:7" x14ac:dyDescent="0.3">
      <c r="B13" s="42" t="s">
        <v>292</v>
      </c>
      <c r="C13" s="23">
        <v>13403</v>
      </c>
      <c r="D13" s="23">
        <v>18569</v>
      </c>
      <c r="E13" s="23">
        <v>20450</v>
      </c>
      <c r="F13" s="23">
        <v>20463</v>
      </c>
      <c r="G13" s="23">
        <v>19235</v>
      </c>
    </row>
    <row r="14" spans="2:7" x14ac:dyDescent="0.3">
      <c r="B14" s="42" t="s">
        <v>293</v>
      </c>
      <c r="C14" s="23">
        <v>2636</v>
      </c>
      <c r="D14" s="23">
        <v>4384</v>
      </c>
      <c r="E14" s="23">
        <v>4604</v>
      </c>
      <c r="F14" s="23">
        <v>4992</v>
      </c>
      <c r="G14" s="23">
        <v>5275</v>
      </c>
    </row>
    <row r="15" spans="2:7" x14ac:dyDescent="0.3">
      <c r="B15" s="42" t="s">
        <v>294</v>
      </c>
      <c r="C15" s="23" t="s">
        <v>128</v>
      </c>
      <c r="D15" s="23" t="s">
        <v>128</v>
      </c>
      <c r="E15" s="23" t="s">
        <v>128</v>
      </c>
      <c r="F15" s="23" t="s">
        <v>128</v>
      </c>
      <c r="G15" s="23" t="s">
        <v>128</v>
      </c>
    </row>
    <row r="16" spans="2:7" x14ac:dyDescent="0.3">
      <c r="B16" s="42" t="s">
        <v>295</v>
      </c>
      <c r="C16" s="23" t="s">
        <v>128</v>
      </c>
      <c r="D16" s="23" t="s">
        <v>128</v>
      </c>
      <c r="E16" s="23" t="s">
        <v>128</v>
      </c>
      <c r="F16" s="23" t="s">
        <v>128</v>
      </c>
      <c r="G16" s="23" t="s">
        <v>128</v>
      </c>
    </row>
    <row r="17" spans="2:7" x14ac:dyDescent="0.3">
      <c r="B17" s="42"/>
      <c r="C17" s="42"/>
      <c r="D17" s="42"/>
      <c r="E17" s="42"/>
      <c r="F17" s="42"/>
      <c r="G17" s="42"/>
    </row>
    <row r="18" spans="2:7" x14ac:dyDescent="0.3">
      <c r="B18" s="6" t="s">
        <v>296</v>
      </c>
      <c r="C18" s="274">
        <v>16039</v>
      </c>
      <c r="D18" s="274">
        <v>22953</v>
      </c>
      <c r="E18" s="274">
        <v>25054</v>
      </c>
      <c r="F18" s="274">
        <v>25455</v>
      </c>
      <c r="G18" s="274">
        <v>24510</v>
      </c>
    </row>
    <row r="19" spans="2:7" x14ac:dyDescent="0.3">
      <c r="B19" s="42"/>
      <c r="C19" s="275"/>
      <c r="D19" s="275"/>
      <c r="E19" s="275"/>
      <c r="F19" s="275"/>
      <c r="G19" s="275"/>
    </row>
    <row r="20" spans="2:7" x14ac:dyDescent="0.3">
      <c r="B20" s="272" t="s">
        <v>297</v>
      </c>
      <c r="C20" s="276">
        <v>-2347</v>
      </c>
      <c r="D20" s="276">
        <v>-2392</v>
      </c>
      <c r="E20" s="276">
        <v>212</v>
      </c>
      <c r="F20" s="276">
        <v>3473</v>
      </c>
      <c r="G20" s="276">
        <v>4907</v>
      </c>
    </row>
    <row r="21" spans="2:7" x14ac:dyDescent="0.3">
      <c r="B21" s="42"/>
      <c r="C21" s="42"/>
      <c r="D21" s="42"/>
      <c r="E21" s="42"/>
      <c r="F21" s="42"/>
      <c r="G21" s="42"/>
    </row>
    <row r="22" spans="2:7" x14ac:dyDescent="0.3">
      <c r="B22" s="42" t="s">
        <v>298</v>
      </c>
      <c r="C22" s="23">
        <v>-1751</v>
      </c>
      <c r="D22" s="23">
        <v>-2406</v>
      </c>
      <c r="E22" s="23">
        <v>-2488</v>
      </c>
      <c r="F22" s="23">
        <v>-2675</v>
      </c>
      <c r="G22" s="23">
        <v>-2389</v>
      </c>
    </row>
    <row r="23" spans="2:7" x14ac:dyDescent="0.3">
      <c r="B23" s="42" t="s">
        <v>299</v>
      </c>
      <c r="C23" s="23">
        <v>102</v>
      </c>
      <c r="D23" s="23">
        <v>207</v>
      </c>
      <c r="E23" s="23">
        <v>313</v>
      </c>
      <c r="F23" s="23">
        <v>160</v>
      </c>
      <c r="G23" s="23">
        <v>54</v>
      </c>
    </row>
    <row r="24" spans="2:7" x14ac:dyDescent="0.3">
      <c r="B24" s="272" t="s">
        <v>300</v>
      </c>
      <c r="C24" s="273">
        <v>-1649</v>
      </c>
      <c r="D24" s="273">
        <v>-2199</v>
      </c>
      <c r="E24" s="273">
        <v>-2175</v>
      </c>
      <c r="F24" s="273">
        <v>-2515</v>
      </c>
      <c r="G24" s="273">
        <v>-2335</v>
      </c>
    </row>
    <row r="25" spans="2:7" x14ac:dyDescent="0.3">
      <c r="B25" s="42"/>
      <c r="C25" s="42"/>
      <c r="D25" s="42"/>
      <c r="E25" s="42"/>
      <c r="F25" s="42"/>
      <c r="G25" s="42"/>
    </row>
    <row r="26" spans="2:7" x14ac:dyDescent="0.3">
      <c r="B26" s="42" t="s">
        <v>301</v>
      </c>
      <c r="C26" s="23">
        <v>-77</v>
      </c>
      <c r="D26" s="23">
        <v>-113</v>
      </c>
      <c r="E26" s="23">
        <v>-206</v>
      </c>
      <c r="F26" s="23">
        <v>-162</v>
      </c>
      <c r="G26" s="23">
        <v>-127</v>
      </c>
    </row>
    <row r="27" spans="2:7" x14ac:dyDescent="0.3">
      <c r="B27" s="42" t="s">
        <v>302</v>
      </c>
      <c r="C27" s="23">
        <v>-45</v>
      </c>
      <c r="D27" s="23">
        <v>-113</v>
      </c>
      <c r="E27" s="23">
        <v>-131</v>
      </c>
      <c r="F27" s="23">
        <v>-143</v>
      </c>
      <c r="G27" s="23">
        <v>-52</v>
      </c>
    </row>
    <row r="28" spans="2:7" x14ac:dyDescent="0.3">
      <c r="B28" s="6" t="s">
        <v>303</v>
      </c>
      <c r="C28" s="274">
        <v>-4118</v>
      </c>
      <c r="D28" s="274">
        <v>-4817</v>
      </c>
      <c r="E28" s="274">
        <v>-2300</v>
      </c>
      <c r="F28" s="274">
        <v>653</v>
      </c>
      <c r="G28" s="274">
        <v>2393</v>
      </c>
    </row>
    <row r="29" spans="2:7" x14ac:dyDescent="0.3">
      <c r="B29" s="42"/>
      <c r="C29" s="42"/>
      <c r="D29" s="42"/>
      <c r="E29" s="42"/>
      <c r="F29" s="42"/>
      <c r="G29" s="42"/>
    </row>
    <row r="30" spans="2:7" x14ac:dyDescent="0.3">
      <c r="B30" s="42" t="s">
        <v>304</v>
      </c>
      <c r="C30" s="23">
        <v>-43</v>
      </c>
      <c r="D30" s="23">
        <v>-24</v>
      </c>
      <c r="E30" s="23">
        <v>-213</v>
      </c>
      <c r="F30" s="23">
        <v>5</v>
      </c>
      <c r="G30" s="23" t="s">
        <v>128</v>
      </c>
    </row>
    <row r="31" spans="2:7" x14ac:dyDescent="0.3">
      <c r="B31" s="42" t="s">
        <v>305</v>
      </c>
      <c r="C31" s="23" t="s">
        <v>128</v>
      </c>
      <c r="D31" s="23" t="s">
        <v>128</v>
      </c>
      <c r="E31" s="23">
        <v>-190</v>
      </c>
      <c r="F31" s="23">
        <v>-207</v>
      </c>
      <c r="G31" s="23" t="s">
        <v>128</v>
      </c>
    </row>
    <row r="32" spans="2:7" x14ac:dyDescent="0.3">
      <c r="B32" s="42" t="s">
        <v>306</v>
      </c>
      <c r="C32" s="23">
        <v>4</v>
      </c>
      <c r="D32" s="23">
        <v>72</v>
      </c>
      <c r="E32" s="23">
        <v>342</v>
      </c>
      <c r="F32" s="23">
        <v>194</v>
      </c>
      <c r="G32" s="23">
        <v>582</v>
      </c>
    </row>
    <row r="33" spans="2:7" x14ac:dyDescent="0.3">
      <c r="B33" s="42" t="s">
        <v>307</v>
      </c>
      <c r="C33" s="23" t="s">
        <v>128</v>
      </c>
      <c r="D33" s="23" t="s">
        <v>128</v>
      </c>
      <c r="E33" s="23" t="s">
        <v>128</v>
      </c>
      <c r="F33" s="23" t="s">
        <v>128</v>
      </c>
      <c r="G33" s="23">
        <v>458</v>
      </c>
    </row>
    <row r="34" spans="2:7" x14ac:dyDescent="0.3">
      <c r="B34" s="42" t="s">
        <v>308</v>
      </c>
      <c r="C34" s="23" t="s">
        <v>128</v>
      </c>
      <c r="D34" s="23" t="s">
        <v>128</v>
      </c>
      <c r="E34" s="23" t="s">
        <v>128</v>
      </c>
      <c r="F34" s="23">
        <v>-412</v>
      </c>
      <c r="G34" s="23" t="s">
        <v>128</v>
      </c>
    </row>
    <row r="35" spans="2:7" x14ac:dyDescent="0.3">
      <c r="B35" s="42" t="s">
        <v>309</v>
      </c>
      <c r="C35" s="23" t="s">
        <v>128</v>
      </c>
      <c r="D35" s="23" t="s">
        <v>128</v>
      </c>
      <c r="E35" s="23" t="s">
        <v>128</v>
      </c>
      <c r="F35" s="23">
        <v>-237</v>
      </c>
      <c r="G35" s="23">
        <v>237</v>
      </c>
    </row>
    <row r="36" spans="2:7" x14ac:dyDescent="0.3">
      <c r="B36" s="42" t="s">
        <v>310</v>
      </c>
      <c r="C36" s="23">
        <v>-337</v>
      </c>
      <c r="D36" s="23" t="s">
        <v>128</v>
      </c>
      <c r="E36" s="23" t="s">
        <v>128</v>
      </c>
      <c r="F36" s="23" t="s">
        <v>128</v>
      </c>
      <c r="G36" s="23" t="s">
        <v>128</v>
      </c>
    </row>
    <row r="37" spans="2:7" x14ac:dyDescent="0.3">
      <c r="B37" s="6" t="s">
        <v>311</v>
      </c>
      <c r="C37" s="274">
        <v>-4494</v>
      </c>
      <c r="D37" s="274">
        <v>-4769</v>
      </c>
      <c r="E37" s="274">
        <v>-2361</v>
      </c>
      <c r="F37" s="274">
        <v>-4</v>
      </c>
      <c r="G37" s="274">
        <v>3670</v>
      </c>
    </row>
    <row r="38" spans="2:7" x14ac:dyDescent="0.3">
      <c r="B38" s="42"/>
      <c r="C38" s="42"/>
      <c r="D38" s="42"/>
      <c r="E38" s="42"/>
      <c r="F38" s="42"/>
      <c r="G38" s="42"/>
    </row>
    <row r="39" spans="2:7" x14ac:dyDescent="0.3">
      <c r="B39" s="42" t="s">
        <v>312</v>
      </c>
      <c r="C39" s="23">
        <v>-1420</v>
      </c>
      <c r="D39" s="23">
        <v>-1843</v>
      </c>
      <c r="E39" s="23">
        <v>-180</v>
      </c>
      <c r="F39" s="23">
        <v>-5533</v>
      </c>
      <c r="G39" s="23">
        <v>165</v>
      </c>
    </row>
    <row r="40" spans="2:7" x14ac:dyDescent="0.3">
      <c r="B40" s="6" t="s">
        <v>313</v>
      </c>
      <c r="C40" s="274">
        <v>-3074</v>
      </c>
      <c r="D40" s="274">
        <v>-2926</v>
      </c>
      <c r="E40" s="274">
        <v>-2181</v>
      </c>
      <c r="F40" s="274">
        <v>5529</v>
      </c>
      <c r="G40" s="274">
        <v>3505</v>
      </c>
    </row>
    <row r="41" spans="2:7" x14ac:dyDescent="0.3">
      <c r="B41" s="42"/>
      <c r="C41" s="42"/>
      <c r="D41" s="42"/>
      <c r="E41" s="42"/>
      <c r="F41" s="42"/>
      <c r="G41" s="42"/>
    </row>
    <row r="42" spans="2:7" x14ac:dyDescent="0.3">
      <c r="B42" s="42" t="s">
        <v>314</v>
      </c>
      <c r="C42" s="23">
        <v>1916</v>
      </c>
      <c r="D42" s="23" t="s">
        <v>128</v>
      </c>
      <c r="E42" s="23" t="s">
        <v>128</v>
      </c>
      <c r="F42" s="23" t="s">
        <v>128</v>
      </c>
      <c r="G42" s="23" t="s">
        <v>128</v>
      </c>
    </row>
    <row r="43" spans="2:7" x14ac:dyDescent="0.3">
      <c r="B43" s="42" t="s">
        <v>315</v>
      </c>
      <c r="C43" s="23" t="s">
        <v>128</v>
      </c>
      <c r="D43" s="23" t="s">
        <v>128</v>
      </c>
      <c r="E43" s="23" t="s">
        <v>128</v>
      </c>
      <c r="F43" s="23" t="s">
        <v>128</v>
      </c>
      <c r="G43" s="23" t="s">
        <v>128</v>
      </c>
    </row>
    <row r="44" spans="2:7" x14ac:dyDescent="0.3">
      <c r="B44" s="272" t="s">
        <v>316</v>
      </c>
      <c r="C44" s="273">
        <v>-1158</v>
      </c>
      <c r="D44" s="273">
        <v>-2926</v>
      </c>
      <c r="E44" s="273">
        <v>-2181</v>
      </c>
      <c r="F44" s="273">
        <v>5529</v>
      </c>
      <c r="G44" s="273">
        <v>3505</v>
      </c>
    </row>
    <row r="45" spans="2:7" x14ac:dyDescent="0.3">
      <c r="B45" s="42"/>
      <c r="C45" s="42"/>
      <c r="D45" s="42"/>
      <c r="E45" s="42"/>
      <c r="F45" s="42"/>
      <c r="G45" s="42"/>
    </row>
    <row r="46" spans="2:7" x14ac:dyDescent="0.3">
      <c r="B46" s="42" t="s">
        <v>317</v>
      </c>
      <c r="C46" s="23">
        <v>-9</v>
      </c>
      <c r="D46" s="23">
        <v>77</v>
      </c>
      <c r="E46" s="23">
        <v>-129</v>
      </c>
      <c r="F46" s="23">
        <v>-913</v>
      </c>
      <c r="G46" s="23">
        <v>-255</v>
      </c>
    </row>
    <row r="47" spans="2:7" x14ac:dyDescent="0.3">
      <c r="B47" s="6" t="s">
        <v>318</v>
      </c>
      <c r="C47" s="277">
        <v>-1167</v>
      </c>
      <c r="D47" s="277">
        <v>-2849</v>
      </c>
      <c r="E47" s="277">
        <v>-2310</v>
      </c>
      <c r="F47" s="277">
        <v>4616</v>
      </c>
      <c r="G47" s="277">
        <v>3250</v>
      </c>
    </row>
    <row r="48" spans="2:7" x14ac:dyDescent="0.3">
      <c r="B48" s="42"/>
      <c r="C48" s="275"/>
      <c r="D48" s="275"/>
      <c r="E48" s="275"/>
      <c r="F48" s="275"/>
      <c r="G48" s="275"/>
    </row>
    <row r="49" spans="2:7" x14ac:dyDescent="0.3">
      <c r="B49" s="42" t="s">
        <v>319</v>
      </c>
      <c r="C49" s="23" t="s">
        <v>128</v>
      </c>
      <c r="D49" s="23" t="s">
        <v>128</v>
      </c>
      <c r="E49" s="23" t="s">
        <v>128</v>
      </c>
      <c r="F49" s="23" t="s">
        <v>128</v>
      </c>
      <c r="G49" s="23" t="s">
        <v>128</v>
      </c>
    </row>
    <row r="50" spans="2:7" x14ac:dyDescent="0.3">
      <c r="B50" s="42"/>
      <c r="C50" s="42"/>
      <c r="D50" s="42"/>
      <c r="E50" s="42"/>
      <c r="F50" s="42"/>
      <c r="G50" s="42"/>
    </row>
    <row r="51" spans="2:7" x14ac:dyDescent="0.3">
      <c r="B51" s="6" t="s">
        <v>320</v>
      </c>
      <c r="C51" s="278">
        <v>-1167</v>
      </c>
      <c r="D51" s="278">
        <v>-2849</v>
      </c>
      <c r="E51" s="278">
        <v>-2310</v>
      </c>
      <c r="F51" s="278">
        <v>4616</v>
      </c>
      <c r="G51" s="278">
        <v>3250</v>
      </c>
    </row>
    <row r="52" spans="2:7" x14ac:dyDescent="0.3">
      <c r="B52" s="6" t="s">
        <v>321</v>
      </c>
      <c r="C52" s="278">
        <v>-3083</v>
      </c>
      <c r="D52" s="278">
        <v>-2849</v>
      </c>
      <c r="E52" s="278">
        <v>-2310</v>
      </c>
      <c r="F52" s="278">
        <v>4616</v>
      </c>
      <c r="G52" s="278">
        <v>3250</v>
      </c>
    </row>
    <row r="53" spans="2:7" x14ac:dyDescent="0.3">
      <c r="B53" s="42"/>
      <c r="C53" s="42"/>
      <c r="D53" s="42"/>
      <c r="E53" s="42"/>
      <c r="F53" s="42"/>
      <c r="G53" s="42"/>
    </row>
    <row r="54" spans="2:7" x14ac:dyDescent="0.3">
      <c r="B54" s="6" t="s">
        <v>322</v>
      </c>
      <c r="C54" s="42"/>
      <c r="D54" s="42"/>
      <c r="E54" s="42"/>
      <c r="F54" s="42"/>
      <c r="G54" s="42"/>
    </row>
    <row r="55" spans="2:7" x14ac:dyDescent="0.3">
      <c r="B55" s="42" t="s">
        <v>323</v>
      </c>
      <c r="C55" s="279">
        <v>-1.7</v>
      </c>
      <c r="D55" s="279">
        <v>-3.7</v>
      </c>
      <c r="E55" s="279">
        <v>-2.96</v>
      </c>
      <c r="F55" s="279">
        <v>6.38</v>
      </c>
      <c r="G55" s="279">
        <v>4.37</v>
      </c>
    </row>
    <row r="56" spans="2:7" x14ac:dyDescent="0.3">
      <c r="B56" s="42" t="s">
        <v>324</v>
      </c>
      <c r="C56" s="280">
        <v>-4.49</v>
      </c>
      <c r="D56" s="280">
        <v>-3.7</v>
      </c>
      <c r="E56" s="280">
        <v>-2.96</v>
      </c>
      <c r="F56" s="280">
        <v>6.3756899999999996</v>
      </c>
      <c r="G56" s="280">
        <v>4.3682790000000002</v>
      </c>
    </row>
    <row r="57" spans="2:7" x14ac:dyDescent="0.3">
      <c r="B57" s="42" t="s">
        <v>325</v>
      </c>
      <c r="C57" s="23">
        <v>687</v>
      </c>
      <c r="D57" s="23">
        <v>770</v>
      </c>
      <c r="E57" s="23">
        <v>781</v>
      </c>
      <c r="F57" s="23">
        <v>724</v>
      </c>
      <c r="G57" s="23">
        <v>744</v>
      </c>
    </row>
    <row r="58" spans="2:7" x14ac:dyDescent="0.3">
      <c r="B58" s="42"/>
      <c r="C58" s="42"/>
      <c r="D58" s="42"/>
      <c r="E58" s="42"/>
      <c r="F58" s="42"/>
      <c r="G58" s="42"/>
    </row>
    <row r="59" spans="2:7" x14ac:dyDescent="0.3">
      <c r="B59" s="42" t="s">
        <v>326</v>
      </c>
      <c r="C59" s="279">
        <v>-1.71</v>
      </c>
      <c r="D59" s="279">
        <v>-3.71</v>
      </c>
      <c r="E59" s="279">
        <v>-3</v>
      </c>
      <c r="F59" s="279">
        <v>6.03</v>
      </c>
      <c r="G59" s="279">
        <v>4.22</v>
      </c>
    </row>
    <row r="60" spans="2:7" x14ac:dyDescent="0.3">
      <c r="B60" s="42" t="s">
        <v>327</v>
      </c>
      <c r="C60" s="280">
        <v>-4.49</v>
      </c>
      <c r="D60" s="280">
        <v>-3.71</v>
      </c>
      <c r="E60" s="280">
        <v>-3</v>
      </c>
      <c r="F60" s="280">
        <v>6.0346200000000003</v>
      </c>
      <c r="G60" s="280">
        <v>4.2203379999999999</v>
      </c>
    </row>
    <row r="61" spans="2:7" x14ac:dyDescent="0.3">
      <c r="B61" s="42" t="s">
        <v>328</v>
      </c>
      <c r="C61" s="23">
        <v>687</v>
      </c>
      <c r="D61" s="23">
        <v>770</v>
      </c>
      <c r="E61" s="23">
        <v>781</v>
      </c>
      <c r="F61" s="23">
        <v>751</v>
      </c>
      <c r="G61" s="23">
        <v>767</v>
      </c>
    </row>
    <row r="62" spans="2:7" x14ac:dyDescent="0.3">
      <c r="B62" s="42"/>
      <c r="C62" s="42"/>
      <c r="D62" s="42"/>
      <c r="E62" s="42"/>
      <c r="F62" s="42"/>
      <c r="G62" s="42"/>
    </row>
    <row r="63" spans="2:7" x14ac:dyDescent="0.3">
      <c r="B63" s="42" t="s">
        <v>329</v>
      </c>
      <c r="C63" s="279">
        <v>-3.76</v>
      </c>
      <c r="D63" s="279">
        <v>-3.81</v>
      </c>
      <c r="E63" s="279">
        <v>-2.0099999999999998</v>
      </c>
      <c r="F63" s="279">
        <v>-0.7</v>
      </c>
      <c r="G63" s="279">
        <v>1.67</v>
      </c>
    </row>
    <row r="64" spans="2:7" x14ac:dyDescent="0.3">
      <c r="B64" s="42" t="s">
        <v>330</v>
      </c>
      <c r="C64" s="280">
        <v>-3.76</v>
      </c>
      <c r="D64" s="280">
        <v>-3.81</v>
      </c>
      <c r="E64" s="280">
        <v>-2.0099999999999998</v>
      </c>
      <c r="F64" s="280">
        <v>-0.67</v>
      </c>
      <c r="G64" s="280">
        <v>1.6175029999999999</v>
      </c>
    </row>
    <row r="65" spans="2:7" x14ac:dyDescent="0.3">
      <c r="B65" s="42"/>
      <c r="C65" s="42"/>
      <c r="D65" s="42"/>
      <c r="E65" s="42"/>
      <c r="F65" s="42"/>
      <c r="G65" s="42"/>
    </row>
    <row r="66" spans="2:7" x14ac:dyDescent="0.3">
      <c r="B66" s="42" t="s">
        <v>331</v>
      </c>
      <c r="C66" s="280" t="s">
        <v>332</v>
      </c>
      <c r="D66" s="280" t="s">
        <v>332</v>
      </c>
      <c r="E66" s="280" t="s">
        <v>332</v>
      </c>
      <c r="F66" s="280" t="s">
        <v>332</v>
      </c>
      <c r="G66" s="280" t="s">
        <v>332</v>
      </c>
    </row>
    <row r="67" spans="2:7" x14ac:dyDescent="0.3">
      <c r="B67" s="42"/>
      <c r="C67" s="42"/>
      <c r="D67" s="42"/>
      <c r="E67" s="42"/>
      <c r="F67" s="42"/>
      <c r="G67" s="42"/>
    </row>
    <row r="68" spans="2:7" x14ac:dyDescent="0.3">
      <c r="B68" s="42" t="s">
        <v>333</v>
      </c>
      <c r="C68" s="281">
        <v>1</v>
      </c>
      <c r="D68" s="281">
        <v>1</v>
      </c>
      <c r="E68" s="281">
        <v>1</v>
      </c>
      <c r="F68" s="281">
        <v>1</v>
      </c>
      <c r="G68" s="281">
        <v>1</v>
      </c>
    </row>
    <row r="69" spans="2:7" x14ac:dyDescent="0.3">
      <c r="B69" s="42"/>
      <c r="C69" s="42"/>
      <c r="D69" s="42"/>
      <c r="E69" s="42"/>
      <c r="F69" s="42"/>
      <c r="G69" s="42"/>
    </row>
    <row r="70" spans="2:7" x14ac:dyDescent="0.3">
      <c r="B70" s="6" t="s">
        <v>334</v>
      </c>
      <c r="C70" s="42"/>
      <c r="D70" s="42"/>
      <c r="E70" s="42"/>
      <c r="F70" s="42"/>
      <c r="G70" s="42"/>
    </row>
    <row r="71" spans="2:7" x14ac:dyDescent="0.3">
      <c r="B71" s="42" t="s">
        <v>57</v>
      </c>
      <c r="C71" s="23">
        <v>2591</v>
      </c>
      <c r="D71" s="23">
        <v>6160</v>
      </c>
      <c r="E71" s="23">
        <v>7747</v>
      </c>
      <c r="F71" s="23">
        <v>9343</v>
      </c>
      <c r="G71" s="23">
        <v>9982</v>
      </c>
    </row>
    <row r="72" spans="2:7" x14ac:dyDescent="0.3">
      <c r="B72" s="42" t="s">
        <v>335</v>
      </c>
      <c r="C72" s="23">
        <v>1334</v>
      </c>
      <c r="D72" s="23">
        <v>4588</v>
      </c>
      <c r="E72" s="23">
        <v>6350</v>
      </c>
      <c r="F72" s="23">
        <v>7881</v>
      </c>
      <c r="G72" s="23">
        <v>8300</v>
      </c>
    </row>
    <row r="73" spans="2:7" x14ac:dyDescent="0.3">
      <c r="B73" s="42" t="s">
        <v>59</v>
      </c>
      <c r="C73" s="23">
        <v>-2347</v>
      </c>
      <c r="D73" s="23">
        <v>-2392</v>
      </c>
      <c r="E73" s="23">
        <v>212</v>
      </c>
      <c r="F73" s="23">
        <v>3473</v>
      </c>
      <c r="G73" s="23">
        <v>4907</v>
      </c>
    </row>
    <row r="74" spans="2:7" x14ac:dyDescent="0.3">
      <c r="B74" s="42" t="s">
        <v>336</v>
      </c>
      <c r="C74" s="23">
        <v>2870</v>
      </c>
      <c r="D74" s="23" t="s">
        <v>332</v>
      </c>
      <c r="E74" s="23" t="s">
        <v>332</v>
      </c>
      <c r="F74" s="23">
        <v>10014</v>
      </c>
      <c r="G74" s="23">
        <v>10678</v>
      </c>
    </row>
    <row r="75" spans="2:7" x14ac:dyDescent="0.3">
      <c r="B75" s="42" t="s">
        <v>337</v>
      </c>
      <c r="C75" s="23">
        <v>62164</v>
      </c>
      <c r="D75" s="23">
        <v>79040</v>
      </c>
      <c r="E75" s="23">
        <v>90621</v>
      </c>
      <c r="F75" s="23">
        <v>92154</v>
      </c>
      <c r="G75" s="23">
        <v>94224</v>
      </c>
    </row>
    <row r="76" spans="2:7" x14ac:dyDescent="0.3">
      <c r="B76" s="42" t="s">
        <v>338</v>
      </c>
      <c r="C76" s="282" t="s">
        <v>339</v>
      </c>
      <c r="D76" s="282" t="s">
        <v>339</v>
      </c>
      <c r="E76" s="282" t="s">
        <v>339</v>
      </c>
      <c r="F76" s="282" t="s">
        <v>339</v>
      </c>
      <c r="G76" s="282">
        <v>4.4958999999999999E-2</v>
      </c>
    </row>
    <row r="77" spans="2:7" x14ac:dyDescent="0.3">
      <c r="B77" s="42" t="s">
        <v>340</v>
      </c>
      <c r="C77" s="23">
        <v>-93</v>
      </c>
      <c r="D77" s="23">
        <v>163</v>
      </c>
      <c r="E77" s="23">
        <v>535</v>
      </c>
      <c r="F77" s="23">
        <v>-81</v>
      </c>
      <c r="G77" s="23">
        <v>-497</v>
      </c>
    </row>
    <row r="78" spans="2:7" x14ac:dyDescent="0.3">
      <c r="B78" s="42" t="s">
        <v>341</v>
      </c>
      <c r="C78" s="23">
        <v>322</v>
      </c>
      <c r="D78" s="23">
        <v>599</v>
      </c>
      <c r="E78" s="23">
        <v>616</v>
      </c>
      <c r="F78" s="23">
        <v>887</v>
      </c>
      <c r="G78" s="23">
        <v>1061</v>
      </c>
    </row>
    <row r="79" spans="2:7" x14ac:dyDescent="0.3">
      <c r="B79" s="42" t="s">
        <v>342</v>
      </c>
      <c r="C79" s="23">
        <v>229</v>
      </c>
      <c r="D79" s="23">
        <v>762</v>
      </c>
      <c r="E79" s="23">
        <v>1151</v>
      </c>
      <c r="F79" s="23">
        <v>806</v>
      </c>
      <c r="G79" s="23">
        <v>564</v>
      </c>
    </row>
    <row r="80" spans="2:7" x14ac:dyDescent="0.3">
      <c r="B80" s="42" t="s">
        <v>343</v>
      </c>
      <c r="C80" s="23">
        <v>-1615</v>
      </c>
      <c r="D80" s="23">
        <v>-2507</v>
      </c>
      <c r="E80" s="23">
        <v>-1235</v>
      </c>
      <c r="F80" s="23">
        <v>-1012</v>
      </c>
      <c r="G80" s="23">
        <v>-122</v>
      </c>
    </row>
    <row r="81" spans="2:7" x14ac:dyDescent="0.3">
      <c r="B81" s="42" t="s">
        <v>344</v>
      </c>
      <c r="C81" s="23">
        <v>-34</v>
      </c>
      <c r="D81" s="23">
        <v>-98</v>
      </c>
      <c r="E81" s="23">
        <v>-96</v>
      </c>
      <c r="F81" s="23">
        <v>-5327</v>
      </c>
      <c r="G81" s="23">
        <v>-277</v>
      </c>
    </row>
    <row r="82" spans="2:7" x14ac:dyDescent="0.3">
      <c r="B82" s="42" t="s">
        <v>345</v>
      </c>
      <c r="C82" s="23">
        <v>-1649</v>
      </c>
      <c r="D82" s="23">
        <v>-2605</v>
      </c>
      <c r="E82" s="23">
        <v>-1331</v>
      </c>
      <c r="F82" s="23">
        <v>-6339</v>
      </c>
      <c r="G82" s="23">
        <v>-399</v>
      </c>
    </row>
    <row r="83" spans="2:7" x14ac:dyDescent="0.3">
      <c r="B83" s="42"/>
      <c r="C83" s="42"/>
      <c r="D83" s="42"/>
      <c r="E83" s="42"/>
      <c r="F83" s="42"/>
      <c r="G83" s="42"/>
    </row>
    <row r="84" spans="2:7" x14ac:dyDescent="0.3">
      <c r="B84" s="42" t="s">
        <v>346</v>
      </c>
      <c r="C84" s="23">
        <v>-2582.8000000000002</v>
      </c>
      <c r="D84" s="23">
        <v>-2933.6</v>
      </c>
      <c r="E84" s="23">
        <v>-1566.5</v>
      </c>
      <c r="F84" s="23">
        <v>-504.9</v>
      </c>
      <c r="G84" s="23">
        <v>1240.625</v>
      </c>
    </row>
    <row r="85" spans="2:7" x14ac:dyDescent="0.3">
      <c r="B85" s="42" t="s">
        <v>347</v>
      </c>
      <c r="C85" s="23">
        <v>-8</v>
      </c>
      <c r="D85" s="23" t="s">
        <v>128</v>
      </c>
      <c r="E85" s="23" t="s">
        <v>128</v>
      </c>
      <c r="F85" s="23" t="s">
        <v>128</v>
      </c>
      <c r="G85" s="23" t="s">
        <v>128</v>
      </c>
    </row>
    <row r="86" spans="2:7" x14ac:dyDescent="0.3">
      <c r="B86" s="42" t="s">
        <v>348</v>
      </c>
      <c r="C86" s="59">
        <v>43553</v>
      </c>
      <c r="D86" s="59">
        <v>43917</v>
      </c>
      <c r="E86" s="59">
        <v>44281</v>
      </c>
      <c r="F86" s="59">
        <v>44281</v>
      </c>
      <c r="G86" s="59">
        <v>44281</v>
      </c>
    </row>
    <row r="87" spans="2:7" x14ac:dyDescent="0.3">
      <c r="B87" s="42" t="s">
        <v>349</v>
      </c>
      <c r="C87" s="283" t="s">
        <v>350</v>
      </c>
      <c r="D87" s="283" t="s">
        <v>350</v>
      </c>
      <c r="E87" s="283" t="s">
        <v>351</v>
      </c>
      <c r="F87" s="283" t="s">
        <v>351</v>
      </c>
      <c r="G87" s="283" t="s">
        <v>352</v>
      </c>
    </row>
    <row r="88" spans="2:7" x14ac:dyDescent="0.3">
      <c r="B88" s="42" t="s">
        <v>353</v>
      </c>
      <c r="C88" s="283" t="s">
        <v>354</v>
      </c>
      <c r="D88" s="283" t="s">
        <v>354</v>
      </c>
      <c r="E88" s="283" t="s">
        <v>354</v>
      </c>
      <c r="F88" s="283" t="s">
        <v>354</v>
      </c>
      <c r="G88" s="283" t="s">
        <v>354</v>
      </c>
    </row>
    <row r="89" spans="2:7" x14ac:dyDescent="0.3">
      <c r="B89" s="42"/>
      <c r="C89" s="42"/>
      <c r="D89" s="42"/>
      <c r="E89" s="42"/>
      <c r="F89" s="42"/>
      <c r="G89" s="42"/>
    </row>
    <row r="90" spans="2:7" x14ac:dyDescent="0.3">
      <c r="B90" s="6" t="s">
        <v>355</v>
      </c>
      <c r="C90" s="42"/>
      <c r="D90" s="42"/>
      <c r="E90" s="42"/>
      <c r="F90" s="42"/>
      <c r="G90" s="42"/>
    </row>
    <row r="91" spans="2:7" x14ac:dyDescent="0.3">
      <c r="B91" s="42" t="s">
        <v>356</v>
      </c>
      <c r="C91" s="23">
        <v>772</v>
      </c>
      <c r="D91" s="23">
        <v>1000</v>
      </c>
      <c r="E91" s="23">
        <v>1100</v>
      </c>
      <c r="F91" s="23">
        <v>1300</v>
      </c>
      <c r="G91" s="23">
        <v>1300</v>
      </c>
    </row>
    <row r="92" spans="2:7" x14ac:dyDescent="0.3">
      <c r="B92" s="42" t="s">
        <v>357</v>
      </c>
      <c r="C92" s="23">
        <v>772</v>
      </c>
      <c r="D92" s="23">
        <v>1000</v>
      </c>
      <c r="E92" s="23">
        <v>1100</v>
      </c>
      <c r="F92" s="23">
        <v>1300</v>
      </c>
      <c r="G92" s="23">
        <v>1300</v>
      </c>
    </row>
    <row r="93" spans="2:7" x14ac:dyDescent="0.3">
      <c r="B93" s="42" t="s">
        <v>358</v>
      </c>
      <c r="C93" s="23">
        <v>2636</v>
      </c>
      <c r="D93" s="23">
        <v>4466</v>
      </c>
      <c r="E93" s="23">
        <v>4815</v>
      </c>
      <c r="F93" s="23">
        <v>5265</v>
      </c>
      <c r="G93" s="23">
        <v>5590</v>
      </c>
    </row>
    <row r="94" spans="2:7" x14ac:dyDescent="0.3">
      <c r="B94" s="42" t="s">
        <v>359</v>
      </c>
      <c r="C94" s="23">
        <v>279</v>
      </c>
      <c r="D94" s="23" t="s">
        <v>332</v>
      </c>
      <c r="E94" s="23" t="s">
        <v>332</v>
      </c>
      <c r="F94" s="23">
        <v>671</v>
      </c>
      <c r="G94" s="23">
        <v>696</v>
      </c>
    </row>
    <row r="95" spans="2:7" x14ac:dyDescent="0.3">
      <c r="B95" s="42" t="s">
        <v>360</v>
      </c>
      <c r="C95" s="23">
        <v>131.24160000000001</v>
      </c>
      <c r="D95" s="23" t="s">
        <v>128</v>
      </c>
      <c r="E95" s="23" t="s">
        <v>128</v>
      </c>
      <c r="F95" s="23">
        <v>306.57721600000002</v>
      </c>
      <c r="G95" s="23">
        <v>307.11417599999999</v>
      </c>
    </row>
    <row r="96" spans="2:7" x14ac:dyDescent="0.3">
      <c r="B96" s="42" t="s">
        <v>361</v>
      </c>
      <c r="C96" s="23">
        <v>147.75839999999999</v>
      </c>
      <c r="D96" s="23" t="s">
        <v>128</v>
      </c>
      <c r="E96" s="23" t="s">
        <v>128</v>
      </c>
      <c r="F96" s="23">
        <v>364.42278399999998</v>
      </c>
      <c r="G96" s="23">
        <v>388.88582400000001</v>
      </c>
    </row>
    <row r="97" spans="2:7" x14ac:dyDescent="0.3">
      <c r="B97" s="42"/>
      <c r="C97" s="42"/>
      <c r="D97" s="42"/>
      <c r="E97" s="42"/>
      <c r="F97" s="42"/>
      <c r="G97" s="42"/>
    </row>
    <row r="98" spans="2:7" x14ac:dyDescent="0.3">
      <c r="B98" s="42" t="s">
        <v>362</v>
      </c>
      <c r="C98" s="23" t="s">
        <v>128</v>
      </c>
      <c r="D98" s="23">
        <v>66</v>
      </c>
      <c r="E98" s="23">
        <v>91</v>
      </c>
      <c r="F98" s="23">
        <v>129</v>
      </c>
      <c r="G98" s="23">
        <v>194</v>
      </c>
    </row>
    <row r="99" spans="2:7" x14ac:dyDescent="0.3">
      <c r="B99" s="42" t="s">
        <v>363</v>
      </c>
      <c r="C99" s="23">
        <v>392</v>
      </c>
      <c r="D99" s="23">
        <v>769</v>
      </c>
      <c r="E99" s="23">
        <v>827</v>
      </c>
      <c r="F99" s="23">
        <v>1133</v>
      </c>
      <c r="G99" s="23">
        <v>1415</v>
      </c>
    </row>
    <row r="100" spans="2:7" x14ac:dyDescent="0.3">
      <c r="B100" s="6" t="s">
        <v>364</v>
      </c>
      <c r="C100" s="278">
        <v>392</v>
      </c>
      <c r="D100" s="278">
        <v>835</v>
      </c>
      <c r="E100" s="278">
        <v>918</v>
      </c>
      <c r="F100" s="278">
        <v>1262</v>
      </c>
      <c r="G100" s="278">
        <v>1609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E844-3000-4AC2-8DBE-27FC9645A260}">
  <dimension ref="A1:G49"/>
  <sheetViews>
    <sheetView workbookViewId="0">
      <selection activeCell="B11" sqref="B11:G11"/>
    </sheetView>
  </sheetViews>
  <sheetFormatPr defaultColWidth="8.85546875" defaultRowHeight="16.5" x14ac:dyDescent="0.3"/>
  <cols>
    <col min="1" max="1" width="8.85546875" style="1"/>
    <col min="2" max="2" width="32.5703125" style="1" bestFit="1" customWidth="1"/>
    <col min="3" max="7" width="9.42578125" style="1" bestFit="1" customWidth="1"/>
    <col min="8" max="16384" width="8.85546875" style="1"/>
  </cols>
  <sheetData>
    <row r="1" spans="1:7" x14ac:dyDescent="0.3">
      <c r="A1" s="358"/>
      <c r="B1" s="358"/>
      <c r="C1" s="124"/>
      <c r="D1" s="124"/>
      <c r="E1" s="124"/>
      <c r="F1" s="124"/>
      <c r="G1" s="124"/>
    </row>
    <row r="2" spans="1:7" x14ac:dyDescent="0.3">
      <c r="A2" s="124"/>
      <c r="B2" s="79" t="s">
        <v>365</v>
      </c>
      <c r="C2" s="79" t="s">
        <v>366</v>
      </c>
      <c r="D2" s="79" t="s">
        <v>367</v>
      </c>
      <c r="E2" s="79" t="s">
        <v>368</v>
      </c>
      <c r="F2" s="79" t="s">
        <v>369</v>
      </c>
      <c r="G2" s="79" t="s">
        <v>370</v>
      </c>
    </row>
    <row r="3" spans="1:7" x14ac:dyDescent="0.3">
      <c r="A3" s="358"/>
      <c r="B3" s="358"/>
      <c r="C3" s="124"/>
      <c r="D3" s="124"/>
      <c r="E3" s="124"/>
      <c r="F3" s="124"/>
      <c r="G3" s="124"/>
    </row>
    <row r="4" spans="1:7" x14ac:dyDescent="0.3">
      <c r="A4" s="124"/>
      <c r="B4" s="124" t="s">
        <v>69</v>
      </c>
      <c r="C4" s="124"/>
      <c r="D4" s="124"/>
      <c r="E4" s="124"/>
      <c r="F4" s="124"/>
      <c r="G4" s="124"/>
    </row>
    <row r="5" spans="1:7" x14ac:dyDescent="0.3">
      <c r="A5" s="124"/>
      <c r="B5" s="125" t="s">
        <v>70</v>
      </c>
      <c r="C5" s="129">
        <v>9474</v>
      </c>
      <c r="D5" s="129">
        <v>13942</v>
      </c>
      <c r="E5" s="129">
        <v>9676</v>
      </c>
      <c r="F5" s="129">
        <v>9302</v>
      </c>
      <c r="G5" s="129">
        <v>14201</v>
      </c>
    </row>
    <row r="6" spans="1:7" x14ac:dyDescent="0.3">
      <c r="A6" s="124"/>
      <c r="B6" s="125" t="s">
        <v>371</v>
      </c>
      <c r="C6" s="129">
        <v>1975</v>
      </c>
      <c r="D6" s="129">
        <v>2187</v>
      </c>
      <c r="E6" s="124"/>
      <c r="F6" s="124"/>
      <c r="G6" s="124"/>
    </row>
    <row r="7" spans="1:7" x14ac:dyDescent="0.3">
      <c r="A7" s="124"/>
      <c r="B7" s="125" t="s">
        <v>71</v>
      </c>
      <c r="C7" s="129">
        <v>9420</v>
      </c>
      <c r="D7" s="129">
        <v>11721</v>
      </c>
      <c r="E7" s="129">
        <v>12371</v>
      </c>
      <c r="F7" s="129">
        <v>12484</v>
      </c>
      <c r="G7" s="129">
        <v>12788</v>
      </c>
    </row>
    <row r="8" spans="1:7" x14ac:dyDescent="0.3">
      <c r="A8" s="124"/>
      <c r="B8" s="125" t="s">
        <v>72</v>
      </c>
      <c r="C8" s="129">
        <v>3222</v>
      </c>
      <c r="D8" s="129">
        <v>3919</v>
      </c>
      <c r="E8" s="129">
        <v>4398</v>
      </c>
      <c r="F8" s="129">
        <v>4895</v>
      </c>
      <c r="G8" s="129">
        <v>5155</v>
      </c>
    </row>
    <row r="9" spans="1:7" x14ac:dyDescent="0.3">
      <c r="A9" s="124"/>
      <c r="B9" s="125" t="s">
        <v>73</v>
      </c>
      <c r="C9" s="129">
        <v>2538</v>
      </c>
      <c r="D9" s="129">
        <v>2678</v>
      </c>
      <c r="E9" s="129">
        <v>3649</v>
      </c>
      <c r="F9" s="129">
        <v>3281</v>
      </c>
      <c r="G9" s="129">
        <v>3402</v>
      </c>
    </row>
    <row r="10" spans="1:7" x14ac:dyDescent="0.3">
      <c r="A10" s="124"/>
      <c r="B10" s="125" t="s">
        <v>74</v>
      </c>
      <c r="C10" s="129">
        <v>4144</v>
      </c>
      <c r="D10" s="129">
        <v>5881</v>
      </c>
      <c r="E10" s="129">
        <v>6044</v>
      </c>
      <c r="F10" s="129">
        <v>6906</v>
      </c>
      <c r="G10" s="129">
        <v>8021</v>
      </c>
    </row>
    <row r="11" spans="1:7" x14ac:dyDescent="0.3">
      <c r="A11" s="124"/>
      <c r="B11" s="284" t="s">
        <v>75</v>
      </c>
      <c r="C11" s="285">
        <v>30773</v>
      </c>
      <c r="D11" s="285">
        <v>40328</v>
      </c>
      <c r="E11" s="285">
        <v>36138</v>
      </c>
      <c r="F11" s="285">
        <v>36868</v>
      </c>
      <c r="G11" s="285">
        <v>43567</v>
      </c>
    </row>
    <row r="12" spans="1:7" x14ac:dyDescent="0.3">
      <c r="A12" s="358"/>
      <c r="B12" s="358"/>
      <c r="C12" s="124"/>
      <c r="D12" s="124"/>
      <c r="E12" s="124"/>
      <c r="F12" s="124"/>
      <c r="G12" s="124"/>
    </row>
    <row r="13" spans="1:7" x14ac:dyDescent="0.3">
      <c r="A13" s="124"/>
      <c r="B13" s="124" t="s">
        <v>76</v>
      </c>
      <c r="C13" s="124"/>
      <c r="D13" s="124"/>
      <c r="E13" s="124"/>
      <c r="F13" s="124"/>
      <c r="G13" s="124"/>
    </row>
    <row r="14" spans="1:7" x14ac:dyDescent="0.3">
      <c r="A14" s="124"/>
      <c r="B14" s="125" t="s">
        <v>77</v>
      </c>
      <c r="C14" s="129">
        <v>5653</v>
      </c>
      <c r="D14" s="129">
        <v>5390</v>
      </c>
      <c r="E14" s="129">
        <v>5259</v>
      </c>
      <c r="F14" s="129">
        <v>6055</v>
      </c>
      <c r="G14" s="129">
        <v>6431</v>
      </c>
    </row>
    <row r="15" spans="1:7" x14ac:dyDescent="0.3">
      <c r="A15" s="124"/>
      <c r="B15" s="125" t="s">
        <v>79</v>
      </c>
      <c r="C15" s="129">
        <v>3802</v>
      </c>
      <c r="D15" s="129">
        <v>4163</v>
      </c>
      <c r="E15" s="129">
        <v>1005</v>
      </c>
      <c r="F15" s="124">
        <v>864</v>
      </c>
      <c r="G15" s="129">
        <v>1624</v>
      </c>
    </row>
    <row r="16" spans="1:7" x14ac:dyDescent="0.3">
      <c r="A16" s="124"/>
      <c r="B16" s="125" t="s">
        <v>80</v>
      </c>
      <c r="C16" s="129">
        <v>2651</v>
      </c>
      <c r="D16" s="129">
        <v>3724</v>
      </c>
      <c r="E16" s="129">
        <v>4224</v>
      </c>
      <c r="F16" s="129">
        <v>4848</v>
      </c>
      <c r="G16" s="129">
        <v>5339</v>
      </c>
    </row>
    <row r="17" spans="1:7" x14ac:dyDescent="0.3">
      <c r="A17" s="124"/>
      <c r="B17" s="125" t="s">
        <v>81</v>
      </c>
      <c r="C17" s="129">
        <v>38910</v>
      </c>
      <c r="D17" s="129">
        <v>39920</v>
      </c>
      <c r="E17" s="129">
        <v>40089</v>
      </c>
      <c r="F17" s="129">
        <v>41691</v>
      </c>
      <c r="G17" s="129">
        <v>40829</v>
      </c>
    </row>
    <row r="18" spans="1:7" x14ac:dyDescent="0.3">
      <c r="A18" s="124"/>
      <c r="B18" s="125" t="s">
        <v>83</v>
      </c>
      <c r="C18" s="129">
        <v>35053</v>
      </c>
      <c r="D18" s="129">
        <v>28265</v>
      </c>
      <c r="E18" s="129">
        <v>22270</v>
      </c>
      <c r="F18" s="129">
        <v>18107</v>
      </c>
      <c r="G18" s="129">
        <v>14429</v>
      </c>
    </row>
    <row r="19" spans="1:7" x14ac:dyDescent="0.3">
      <c r="A19" s="124"/>
      <c r="B19" s="125" t="s">
        <v>84</v>
      </c>
      <c r="C19" s="129">
        <v>1364</v>
      </c>
      <c r="D19" s="129">
        <v>2403</v>
      </c>
      <c r="E19" s="129">
        <v>2835</v>
      </c>
      <c r="F19" s="129">
        <v>10428</v>
      </c>
      <c r="G19" s="129">
        <v>11196</v>
      </c>
    </row>
    <row r="20" spans="1:7" x14ac:dyDescent="0.3">
      <c r="A20" s="124"/>
      <c r="B20" s="286" t="s">
        <v>85</v>
      </c>
      <c r="C20" s="285">
        <v>87433</v>
      </c>
      <c r="D20" s="285">
        <v>83865</v>
      </c>
      <c r="E20" s="285">
        <v>75682</v>
      </c>
      <c r="F20" s="285">
        <v>81993</v>
      </c>
      <c r="G20" s="285">
        <v>79848</v>
      </c>
    </row>
    <row r="21" spans="1:7" x14ac:dyDescent="0.3">
      <c r="A21" s="358"/>
      <c r="B21" s="358"/>
      <c r="C21" s="124"/>
      <c r="D21" s="124"/>
      <c r="E21" s="124"/>
      <c r="F21" s="124"/>
      <c r="G21" s="124"/>
    </row>
    <row r="22" spans="1:7" x14ac:dyDescent="0.3">
      <c r="A22" s="124"/>
      <c r="B22" s="287" t="s">
        <v>86</v>
      </c>
      <c r="C22" s="285">
        <v>118206</v>
      </c>
      <c r="D22" s="285">
        <v>124193</v>
      </c>
      <c r="E22" s="285">
        <v>111820</v>
      </c>
      <c r="F22" s="285">
        <v>118861</v>
      </c>
      <c r="G22" s="285">
        <v>123415</v>
      </c>
    </row>
    <row r="23" spans="1:7" x14ac:dyDescent="0.3">
      <c r="A23" s="358"/>
      <c r="B23" s="358"/>
      <c r="C23" s="124"/>
      <c r="D23" s="124"/>
      <c r="E23" s="124"/>
      <c r="F23" s="124"/>
      <c r="G23" s="124"/>
    </row>
    <row r="24" spans="1:7" x14ac:dyDescent="0.3">
      <c r="A24" s="124"/>
      <c r="B24" s="124" t="s">
        <v>88</v>
      </c>
      <c r="C24" s="124"/>
      <c r="D24" s="124"/>
      <c r="E24" s="124"/>
      <c r="F24" s="124"/>
      <c r="G24" s="124"/>
    </row>
    <row r="25" spans="1:7" x14ac:dyDescent="0.3">
      <c r="A25" s="124"/>
      <c r="B25" s="125" t="s">
        <v>89</v>
      </c>
      <c r="C25" s="129">
        <v>6329</v>
      </c>
      <c r="D25" s="129">
        <v>7873</v>
      </c>
      <c r="E25" s="129">
        <v>4320</v>
      </c>
      <c r="F25" s="129">
        <v>7737</v>
      </c>
      <c r="G25" s="129">
        <v>6362</v>
      </c>
    </row>
    <row r="26" spans="1:7" x14ac:dyDescent="0.3">
      <c r="A26" s="124"/>
      <c r="B26" s="125" t="s">
        <v>90</v>
      </c>
      <c r="C26" s="129">
        <v>14422</v>
      </c>
      <c r="D26" s="129">
        <v>18334</v>
      </c>
      <c r="E26" s="129">
        <v>19213</v>
      </c>
      <c r="F26" s="129">
        <v>20065</v>
      </c>
      <c r="G26" s="129">
        <v>21696</v>
      </c>
    </row>
    <row r="27" spans="1:7" x14ac:dyDescent="0.3">
      <c r="A27" s="124"/>
      <c r="B27" s="125" t="s">
        <v>91</v>
      </c>
      <c r="C27" s="129">
        <v>7119</v>
      </c>
      <c r="D27" s="129">
        <v>8026</v>
      </c>
      <c r="E27" s="129">
        <v>8495</v>
      </c>
      <c r="F27" s="129">
        <v>9773</v>
      </c>
      <c r="G27" s="129">
        <v>9549</v>
      </c>
    </row>
    <row r="28" spans="1:7" x14ac:dyDescent="0.3">
      <c r="A28" s="124"/>
      <c r="B28" s="125" t="s">
        <v>92</v>
      </c>
      <c r="C28" s="129">
        <v>10265</v>
      </c>
      <c r="D28" s="129">
        <v>11606</v>
      </c>
      <c r="E28" s="129">
        <v>12944</v>
      </c>
      <c r="F28" s="129">
        <v>14881</v>
      </c>
      <c r="G28" s="129">
        <v>16525</v>
      </c>
    </row>
    <row r="29" spans="1:7" x14ac:dyDescent="0.3">
      <c r="A29" s="124"/>
      <c r="B29" s="287" t="s">
        <v>93</v>
      </c>
      <c r="C29" s="285">
        <v>38135</v>
      </c>
      <c r="D29" s="285">
        <v>45839</v>
      </c>
      <c r="E29" s="285">
        <v>44972</v>
      </c>
      <c r="F29" s="285">
        <v>52456</v>
      </c>
      <c r="G29" s="285">
        <v>54132</v>
      </c>
    </row>
    <row r="30" spans="1:7" x14ac:dyDescent="0.3">
      <c r="A30" s="358"/>
      <c r="B30" s="358"/>
      <c r="C30" s="124"/>
      <c r="D30" s="124"/>
      <c r="E30" s="124"/>
      <c r="F30" s="124"/>
      <c r="G30" s="124"/>
    </row>
    <row r="31" spans="1:7" x14ac:dyDescent="0.3">
      <c r="A31" s="124"/>
      <c r="B31" s="124" t="s">
        <v>94</v>
      </c>
      <c r="C31" s="124"/>
      <c r="D31" s="124"/>
      <c r="E31" s="124"/>
      <c r="F31" s="124"/>
      <c r="G31" s="124"/>
    </row>
    <row r="32" spans="1:7" x14ac:dyDescent="0.3">
      <c r="A32" s="124"/>
      <c r="B32" s="125" t="s">
        <v>95</v>
      </c>
      <c r="C32" s="129">
        <v>43061</v>
      </c>
      <c r="D32" s="129">
        <v>43998</v>
      </c>
      <c r="E32" s="129">
        <v>49201</v>
      </c>
      <c r="F32" s="129">
        <v>44319</v>
      </c>
      <c r="G32" s="129">
        <v>41622</v>
      </c>
    </row>
    <row r="33" spans="1:7" x14ac:dyDescent="0.3">
      <c r="A33" s="124"/>
      <c r="B33" s="125" t="s">
        <v>96</v>
      </c>
      <c r="C33" s="129">
        <v>8431</v>
      </c>
      <c r="D33" s="129">
        <v>9210</v>
      </c>
      <c r="E33" s="129">
        <v>11066</v>
      </c>
      <c r="F33" s="129">
        <v>12919</v>
      </c>
      <c r="G33" s="129">
        <v>14276</v>
      </c>
    </row>
    <row r="34" spans="1:7" x14ac:dyDescent="0.3">
      <c r="A34" s="124"/>
      <c r="B34" s="125" t="s">
        <v>97</v>
      </c>
      <c r="C34" s="129">
        <v>9339</v>
      </c>
      <c r="D34" s="129">
        <v>7277</v>
      </c>
      <c r="E34" s="129">
        <v>6327</v>
      </c>
      <c r="F34" s="129">
        <v>5383</v>
      </c>
      <c r="G34" s="129">
        <v>5360</v>
      </c>
    </row>
    <row r="35" spans="1:7" x14ac:dyDescent="0.3">
      <c r="A35" s="124"/>
      <c r="B35" s="287" t="s">
        <v>98</v>
      </c>
      <c r="C35" s="285">
        <v>98966</v>
      </c>
      <c r="D35" s="285">
        <v>106324</v>
      </c>
      <c r="E35" s="285">
        <v>111566</v>
      </c>
      <c r="F35" s="285">
        <v>115077</v>
      </c>
      <c r="G35" s="285">
        <v>115390</v>
      </c>
    </row>
    <row r="36" spans="1:7" x14ac:dyDescent="0.3">
      <c r="A36" s="124"/>
      <c r="B36" s="288" t="s">
        <v>99</v>
      </c>
      <c r="C36" s="288">
        <v>231</v>
      </c>
      <c r="D36" s="288">
        <v>384</v>
      </c>
      <c r="E36" s="289">
        <v>1196</v>
      </c>
      <c r="F36" s="124">
        <v>629</v>
      </c>
      <c r="G36" s="288">
        <v>472</v>
      </c>
    </row>
    <row r="37" spans="1:7" x14ac:dyDescent="0.3">
      <c r="A37" s="358"/>
      <c r="B37" s="358"/>
      <c r="C37" s="124"/>
      <c r="D37" s="124"/>
      <c r="E37" s="124"/>
      <c r="F37" s="124"/>
      <c r="G37" s="124"/>
    </row>
    <row r="38" spans="1:7" x14ac:dyDescent="0.3">
      <c r="A38" s="124"/>
      <c r="B38" s="124" t="s">
        <v>101</v>
      </c>
      <c r="C38" s="124"/>
      <c r="D38" s="124"/>
      <c r="E38" s="124"/>
      <c r="F38" s="124"/>
      <c r="G38" s="124"/>
    </row>
    <row r="39" spans="1:7" x14ac:dyDescent="0.3">
      <c r="A39" s="124"/>
      <c r="B39" s="125" t="s">
        <v>102</v>
      </c>
      <c r="C39" s="129">
        <v>20199</v>
      </c>
      <c r="D39" s="129">
        <v>19889</v>
      </c>
      <c r="E39" s="129">
        <v>16114</v>
      </c>
      <c r="F39" s="129">
        <v>16091</v>
      </c>
      <c r="G39" s="129">
        <v>16849</v>
      </c>
    </row>
    <row r="40" spans="1:7" x14ac:dyDescent="0.3">
      <c r="A40" s="124"/>
      <c r="B40" s="125" t="s">
        <v>104</v>
      </c>
      <c r="C40" s="124">
        <v>-752</v>
      </c>
      <c r="D40" s="129">
        <v>-1440</v>
      </c>
      <c r="E40" s="124">
        <v>-63</v>
      </c>
      <c r="F40" s="124">
        <v>-65</v>
      </c>
      <c r="G40" s="124">
        <v>-305</v>
      </c>
    </row>
    <row r="41" spans="1:7" x14ac:dyDescent="0.3">
      <c r="A41" s="124"/>
      <c r="B41" s="125" t="s">
        <v>372</v>
      </c>
      <c r="C41" s="129">
        <v>-5609</v>
      </c>
      <c r="D41" s="129">
        <v>-6860</v>
      </c>
      <c r="E41" s="129">
        <v>-21349</v>
      </c>
      <c r="F41" s="129">
        <v>-16891</v>
      </c>
      <c r="G41" s="129">
        <v>13751</v>
      </c>
    </row>
    <row r="42" spans="1:7" x14ac:dyDescent="0.3">
      <c r="A42" s="124"/>
      <c r="B42" s="125" t="s">
        <v>106</v>
      </c>
      <c r="C42" s="124">
        <v>-595</v>
      </c>
      <c r="D42" s="124">
        <v>130</v>
      </c>
      <c r="E42" s="124">
        <v>-467</v>
      </c>
      <c r="F42" s="124">
        <v>-709</v>
      </c>
      <c r="G42" s="124">
        <v>-314</v>
      </c>
    </row>
    <row r="43" spans="1:7" x14ac:dyDescent="0.3">
      <c r="A43" s="124"/>
      <c r="B43" s="287" t="s">
        <v>108</v>
      </c>
      <c r="C43" s="285">
        <v>13243</v>
      </c>
      <c r="D43" s="285">
        <v>11719</v>
      </c>
      <c r="E43" s="285">
        <v>-5765</v>
      </c>
      <c r="F43" s="285">
        <v>-1574</v>
      </c>
      <c r="G43" s="285">
        <v>2479</v>
      </c>
    </row>
    <row r="44" spans="1:7" x14ac:dyDescent="0.3">
      <c r="A44" s="124"/>
      <c r="B44" s="125" t="s">
        <v>109</v>
      </c>
      <c r="C44" s="129">
        <v>5766</v>
      </c>
      <c r="D44" s="129">
        <v>5766</v>
      </c>
      <c r="E44" s="129">
        <v>4823</v>
      </c>
      <c r="F44" s="129">
        <v>4729</v>
      </c>
      <c r="G44" s="129">
        <v>5074</v>
      </c>
    </row>
    <row r="45" spans="1:7" x14ac:dyDescent="0.3">
      <c r="A45" s="124"/>
      <c r="B45" s="287" t="s">
        <v>110</v>
      </c>
      <c r="C45" s="285">
        <v>19009</v>
      </c>
      <c r="D45" s="285">
        <v>17485</v>
      </c>
      <c r="E45" s="287">
        <v>-942</v>
      </c>
      <c r="F45" s="285">
        <v>3155</v>
      </c>
      <c r="G45" s="285">
        <v>7553</v>
      </c>
    </row>
    <row r="46" spans="1:7" x14ac:dyDescent="0.3">
      <c r="A46" s="358"/>
      <c r="B46" s="358"/>
      <c r="C46" s="124"/>
      <c r="D46" s="124"/>
      <c r="E46" s="124"/>
      <c r="F46" s="124"/>
      <c r="G46" s="124"/>
    </row>
    <row r="47" spans="1:7" x14ac:dyDescent="0.3">
      <c r="A47" s="124"/>
      <c r="B47" s="287" t="s">
        <v>111</v>
      </c>
      <c r="C47" s="285">
        <v>118206</v>
      </c>
      <c r="D47" s="285">
        <v>124193</v>
      </c>
      <c r="E47" s="285">
        <v>111820</v>
      </c>
      <c r="F47" s="285">
        <v>118861</v>
      </c>
      <c r="G47" s="285">
        <v>123415</v>
      </c>
    </row>
    <row r="48" spans="1:7" x14ac:dyDescent="0.3">
      <c r="A48" s="358"/>
      <c r="B48" s="358"/>
      <c r="C48" s="124"/>
      <c r="D48" s="124"/>
      <c r="E48" s="124"/>
      <c r="F48" s="124"/>
      <c r="G48" s="124"/>
    </row>
    <row r="49" spans="1:7" x14ac:dyDescent="0.3">
      <c r="A49" s="124"/>
      <c r="B49" s="169" t="s">
        <v>373</v>
      </c>
      <c r="C49" s="290" t="s">
        <v>374</v>
      </c>
      <c r="D49" s="290" t="s">
        <v>374</v>
      </c>
      <c r="E49" s="290" t="s">
        <v>374</v>
      </c>
      <c r="F49" s="290" t="s">
        <v>374</v>
      </c>
      <c r="G49" s="290" t="s">
        <v>374</v>
      </c>
    </row>
  </sheetData>
  <mergeCells count="9">
    <mergeCell ref="A37:B37"/>
    <mergeCell ref="A46:B46"/>
    <mergeCell ref="A48:B48"/>
    <mergeCell ref="A1:B1"/>
    <mergeCell ref="A3:B3"/>
    <mergeCell ref="A12:B12"/>
    <mergeCell ref="A21:B21"/>
    <mergeCell ref="A23:B23"/>
    <mergeCell ref="A30:B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081C-9454-4954-A18D-5B9D342EB1FD}">
  <dimension ref="A2:IU62"/>
  <sheetViews>
    <sheetView topLeftCell="A13" zoomScaleNormal="100" workbookViewId="0">
      <selection activeCell="O47" sqref="O47"/>
    </sheetView>
  </sheetViews>
  <sheetFormatPr defaultColWidth="8.85546875" defaultRowHeight="16.5" x14ac:dyDescent="0.3"/>
  <cols>
    <col min="1" max="1" width="36.85546875" style="1" bestFit="1" customWidth="1"/>
    <col min="2" max="7" width="13.140625" style="1" bestFit="1" customWidth="1"/>
    <col min="8" max="16384" width="8.85546875" style="1"/>
  </cols>
  <sheetData>
    <row r="2" spans="1:255" x14ac:dyDescent="0.3">
      <c r="A2" s="319" t="s">
        <v>375</v>
      </c>
      <c r="B2" s="319"/>
      <c r="C2" s="319"/>
      <c r="D2" s="319"/>
      <c r="E2" s="319"/>
      <c r="F2" s="319"/>
      <c r="G2" s="319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  <c r="BS2" s="327"/>
      <c r="BT2" s="327"/>
      <c r="BU2" s="327"/>
      <c r="BV2" s="327"/>
      <c r="BW2" s="327"/>
      <c r="BX2" s="327"/>
      <c r="BY2" s="327"/>
      <c r="BZ2" s="327"/>
      <c r="CA2" s="327"/>
      <c r="CB2" s="327"/>
      <c r="CC2" s="327"/>
      <c r="CD2" s="327"/>
      <c r="CE2" s="327"/>
      <c r="CF2" s="327"/>
      <c r="CG2" s="327"/>
      <c r="CH2" s="327"/>
      <c r="CI2" s="327"/>
      <c r="CJ2" s="327"/>
      <c r="CK2" s="327"/>
      <c r="CL2" s="327"/>
      <c r="CM2" s="327"/>
      <c r="CN2" s="327"/>
      <c r="CO2" s="327"/>
      <c r="CP2" s="327"/>
      <c r="CQ2" s="327"/>
      <c r="CR2" s="327"/>
      <c r="CS2" s="327"/>
      <c r="CT2" s="327"/>
      <c r="CU2" s="327"/>
      <c r="CV2" s="327"/>
      <c r="CW2" s="327"/>
      <c r="CX2" s="327"/>
      <c r="CY2" s="327"/>
      <c r="CZ2" s="327"/>
      <c r="DA2" s="327"/>
      <c r="DB2" s="327"/>
      <c r="DC2" s="327"/>
      <c r="DD2" s="327"/>
      <c r="DE2" s="327"/>
      <c r="DF2" s="327"/>
      <c r="DG2" s="327"/>
      <c r="DH2" s="327"/>
      <c r="DI2" s="327"/>
      <c r="DJ2" s="327"/>
      <c r="DK2" s="327"/>
      <c r="DL2" s="327"/>
      <c r="DM2" s="327"/>
      <c r="DN2" s="327"/>
      <c r="DO2" s="327"/>
      <c r="DP2" s="327"/>
      <c r="DQ2" s="327"/>
      <c r="DR2" s="327"/>
      <c r="DS2" s="327"/>
      <c r="DT2" s="327"/>
      <c r="DU2" s="327"/>
      <c r="DV2" s="327"/>
      <c r="DW2" s="327"/>
      <c r="DX2" s="327"/>
      <c r="DY2" s="327"/>
      <c r="DZ2" s="327"/>
      <c r="EA2" s="327"/>
      <c r="EB2" s="327"/>
      <c r="EC2" s="327"/>
      <c r="ED2" s="327"/>
      <c r="EE2" s="327"/>
      <c r="EF2" s="327"/>
      <c r="EG2" s="327"/>
      <c r="EH2" s="327"/>
      <c r="EI2" s="327"/>
      <c r="EJ2" s="327"/>
      <c r="EK2" s="327"/>
      <c r="EL2" s="327"/>
      <c r="EM2" s="327"/>
      <c r="EN2" s="327"/>
      <c r="EO2" s="327"/>
      <c r="EP2" s="327"/>
      <c r="EQ2" s="327"/>
      <c r="ER2" s="327"/>
      <c r="ES2" s="327"/>
      <c r="ET2" s="327"/>
      <c r="EU2" s="327"/>
      <c r="EV2" s="327"/>
      <c r="EW2" s="327"/>
      <c r="EX2" s="327"/>
      <c r="EY2" s="327"/>
      <c r="EZ2" s="327"/>
      <c r="FA2" s="327"/>
      <c r="FB2" s="327"/>
      <c r="FC2" s="327"/>
      <c r="FD2" s="327"/>
      <c r="FE2" s="327"/>
      <c r="FF2" s="327"/>
      <c r="FG2" s="327"/>
      <c r="FH2" s="327"/>
      <c r="FI2" s="327"/>
      <c r="FJ2" s="327"/>
      <c r="FK2" s="327"/>
      <c r="FL2" s="327"/>
      <c r="FM2" s="327"/>
      <c r="FN2" s="327"/>
      <c r="FO2" s="327"/>
      <c r="FP2" s="327"/>
      <c r="FQ2" s="327"/>
      <c r="FR2" s="327"/>
      <c r="FS2" s="327"/>
      <c r="FT2" s="327"/>
      <c r="FU2" s="327"/>
      <c r="FV2" s="327"/>
      <c r="FW2" s="327"/>
      <c r="FX2" s="327"/>
      <c r="FY2" s="327"/>
      <c r="FZ2" s="327"/>
      <c r="GA2" s="327"/>
      <c r="GB2" s="327"/>
      <c r="GC2" s="327"/>
      <c r="GD2" s="327"/>
      <c r="GE2" s="327"/>
      <c r="GF2" s="327"/>
      <c r="GG2" s="327"/>
      <c r="GH2" s="327"/>
      <c r="GI2" s="327"/>
      <c r="GJ2" s="327"/>
      <c r="GK2" s="327"/>
      <c r="GL2" s="327"/>
      <c r="GM2" s="327"/>
      <c r="GN2" s="327"/>
      <c r="GO2" s="327"/>
      <c r="GP2" s="327"/>
      <c r="GQ2" s="327"/>
      <c r="GR2" s="327"/>
      <c r="GS2" s="327"/>
      <c r="GT2" s="327"/>
      <c r="GU2" s="327"/>
      <c r="GV2" s="327"/>
      <c r="GW2" s="327"/>
      <c r="GX2" s="327"/>
      <c r="GY2" s="327"/>
      <c r="GZ2" s="327"/>
      <c r="HA2" s="327"/>
      <c r="HB2" s="327"/>
      <c r="HC2" s="327"/>
      <c r="HD2" s="327"/>
      <c r="HE2" s="327"/>
      <c r="HF2" s="327"/>
      <c r="HG2" s="327"/>
      <c r="HH2" s="327"/>
      <c r="HI2" s="327"/>
      <c r="HJ2" s="327"/>
      <c r="HK2" s="327"/>
      <c r="HL2" s="327"/>
      <c r="HM2" s="327"/>
      <c r="HN2" s="327"/>
      <c r="HO2" s="327"/>
      <c r="HP2" s="327"/>
      <c r="HQ2" s="327"/>
      <c r="HR2" s="327"/>
      <c r="HS2" s="327"/>
      <c r="HT2" s="327"/>
      <c r="HU2" s="327"/>
      <c r="HV2" s="327"/>
      <c r="HW2" s="327"/>
      <c r="HX2" s="327"/>
      <c r="HY2" s="327"/>
      <c r="HZ2" s="327"/>
      <c r="IA2" s="327"/>
      <c r="IB2" s="327"/>
      <c r="IC2" s="327"/>
      <c r="ID2" s="327"/>
      <c r="IE2" s="327"/>
      <c r="IF2" s="327"/>
      <c r="IG2" s="327"/>
      <c r="IH2" s="327"/>
      <c r="II2" s="327"/>
      <c r="IJ2" s="327"/>
      <c r="IK2" s="327"/>
      <c r="IL2" s="327"/>
      <c r="IM2" s="327"/>
      <c r="IN2" s="327"/>
      <c r="IO2" s="327"/>
      <c r="IP2" s="327"/>
      <c r="IQ2" s="327"/>
      <c r="IR2" s="327"/>
      <c r="IS2" s="327"/>
      <c r="IT2" s="327"/>
      <c r="IU2" s="327"/>
    </row>
    <row r="3" spans="1:255" x14ac:dyDescent="0.3">
      <c r="A3" s="320" t="s">
        <v>376</v>
      </c>
      <c r="B3" s="321"/>
      <c r="C3" s="321"/>
      <c r="D3" s="321"/>
      <c r="E3" s="321"/>
      <c r="F3" s="321"/>
      <c r="G3" s="321"/>
    </row>
    <row r="4" spans="1:255" x14ac:dyDescent="0.3">
      <c r="A4" s="320" t="s">
        <v>64</v>
      </c>
      <c r="B4" s="322">
        <v>-1167</v>
      </c>
      <c r="C4" s="322">
        <v>-2849</v>
      </c>
      <c r="D4" s="322">
        <v>-2310</v>
      </c>
      <c r="E4" s="322">
        <v>4616</v>
      </c>
      <c r="F4" s="322">
        <v>3250</v>
      </c>
      <c r="G4" s="322">
        <v>6788</v>
      </c>
    </row>
    <row r="5" spans="1:255" x14ac:dyDescent="0.3">
      <c r="A5" s="321" t="s">
        <v>294</v>
      </c>
      <c r="B5" s="323">
        <v>1257</v>
      </c>
      <c r="C5" s="323">
        <v>1572</v>
      </c>
      <c r="D5" s="323">
        <v>1397</v>
      </c>
      <c r="E5" s="323">
        <v>1462</v>
      </c>
      <c r="F5" s="323">
        <v>1682</v>
      </c>
      <c r="G5" s="323">
        <v>1819</v>
      </c>
    </row>
    <row r="6" spans="1:255" x14ac:dyDescent="0.3">
      <c r="A6" s="321" t="s">
        <v>377</v>
      </c>
      <c r="B6" s="323">
        <v>3681</v>
      </c>
      <c r="C6" s="323">
        <v>6980</v>
      </c>
      <c r="D6" s="323">
        <v>6138</v>
      </c>
      <c r="E6" s="323">
        <v>4408</v>
      </c>
      <c r="F6" s="323">
        <v>3393</v>
      </c>
      <c r="G6" s="323">
        <v>2960</v>
      </c>
    </row>
    <row r="7" spans="1:255" x14ac:dyDescent="0.3">
      <c r="A7" s="320" t="s">
        <v>378</v>
      </c>
      <c r="B7" s="324">
        <v>4938</v>
      </c>
      <c r="C7" s="324">
        <v>8552</v>
      </c>
      <c r="D7" s="324">
        <v>7535</v>
      </c>
      <c r="E7" s="324">
        <v>5870</v>
      </c>
      <c r="F7" s="324">
        <v>5075</v>
      </c>
      <c r="G7" s="324">
        <v>4779</v>
      </c>
    </row>
    <row r="8" spans="1:255" x14ac:dyDescent="0.3">
      <c r="A8" s="321"/>
      <c r="B8" s="321"/>
      <c r="C8" s="321"/>
      <c r="D8" s="321"/>
      <c r="E8" s="321"/>
      <c r="F8" s="321"/>
      <c r="G8" s="321"/>
    </row>
    <row r="9" spans="1:255" x14ac:dyDescent="0.3">
      <c r="A9" s="321" t="s">
        <v>379</v>
      </c>
      <c r="B9" s="323">
        <v>268</v>
      </c>
      <c r="C9" s="323">
        <v>82</v>
      </c>
      <c r="D9" s="323">
        <v>211</v>
      </c>
      <c r="E9" s="323">
        <v>273</v>
      </c>
      <c r="F9" s="323">
        <v>315</v>
      </c>
      <c r="G9" s="323">
        <v>315</v>
      </c>
    </row>
    <row r="10" spans="1:255" x14ac:dyDescent="0.3">
      <c r="A10" s="321" t="s">
        <v>380</v>
      </c>
      <c r="B10" s="323">
        <v>-2165</v>
      </c>
      <c r="C10" s="323" t="s">
        <v>128</v>
      </c>
      <c r="D10" s="323" t="s">
        <v>128</v>
      </c>
      <c r="E10" s="323" t="s">
        <v>128</v>
      </c>
      <c r="F10" s="323" t="s">
        <v>128</v>
      </c>
      <c r="G10" s="323" t="s">
        <v>128</v>
      </c>
    </row>
    <row r="11" spans="1:255" x14ac:dyDescent="0.3">
      <c r="A11" s="321" t="s">
        <v>381</v>
      </c>
      <c r="B11" s="323" t="s">
        <v>128</v>
      </c>
      <c r="C11" s="323" t="s">
        <v>128</v>
      </c>
      <c r="D11" s="323">
        <v>190</v>
      </c>
      <c r="E11" s="323">
        <v>619</v>
      </c>
      <c r="F11" s="323" t="s">
        <v>128</v>
      </c>
      <c r="G11" s="323" t="s">
        <v>128</v>
      </c>
    </row>
    <row r="12" spans="1:255" x14ac:dyDescent="0.3">
      <c r="A12" s="321" t="s">
        <v>382</v>
      </c>
      <c r="B12" s="323">
        <v>398</v>
      </c>
      <c r="C12" s="323">
        <v>835</v>
      </c>
      <c r="D12" s="323">
        <v>918</v>
      </c>
      <c r="E12" s="323">
        <v>1262</v>
      </c>
      <c r="F12" s="323">
        <v>1609</v>
      </c>
      <c r="G12" s="323">
        <v>1609</v>
      </c>
    </row>
    <row r="13" spans="1:255" x14ac:dyDescent="0.3">
      <c r="A13" s="321" t="s">
        <v>383</v>
      </c>
      <c r="B13" s="323">
        <v>120</v>
      </c>
      <c r="C13" s="323">
        <v>164</v>
      </c>
      <c r="D13" s="323" t="s">
        <v>128</v>
      </c>
      <c r="E13" s="323" t="s">
        <v>128</v>
      </c>
      <c r="F13" s="323" t="s">
        <v>128</v>
      </c>
      <c r="G13" s="323" t="s">
        <v>128</v>
      </c>
    </row>
    <row r="14" spans="1:255" x14ac:dyDescent="0.3">
      <c r="A14" s="321" t="s">
        <v>384</v>
      </c>
      <c r="B14" s="323">
        <v>-1870</v>
      </c>
      <c r="C14" s="323">
        <v>-2092</v>
      </c>
      <c r="D14" s="323">
        <v>-636</v>
      </c>
      <c r="E14" s="323">
        <v>-5107</v>
      </c>
      <c r="F14" s="323">
        <v>-232</v>
      </c>
      <c r="G14" s="323">
        <v>-1790</v>
      </c>
    </row>
    <row r="15" spans="1:255" x14ac:dyDescent="0.3">
      <c r="A15" s="321" t="s">
        <v>385</v>
      </c>
      <c r="B15" s="323">
        <v>-1935</v>
      </c>
      <c r="C15" s="323">
        <v>-1590</v>
      </c>
      <c r="D15" s="323">
        <v>-1104</v>
      </c>
      <c r="E15" s="323">
        <v>-286</v>
      </c>
      <c r="F15" s="323">
        <v>-396</v>
      </c>
      <c r="G15" s="323">
        <v>-396</v>
      </c>
    </row>
    <row r="16" spans="1:255" x14ac:dyDescent="0.3">
      <c r="A16" s="321" t="s">
        <v>386</v>
      </c>
      <c r="B16" s="323">
        <v>1076</v>
      </c>
      <c r="C16" s="323">
        <v>-325</v>
      </c>
      <c r="D16" s="323">
        <v>-1445</v>
      </c>
      <c r="E16" s="323">
        <v>311</v>
      </c>
      <c r="F16" s="323">
        <v>-243</v>
      </c>
      <c r="G16" s="323">
        <v>-243</v>
      </c>
    </row>
    <row r="17" spans="1:7" x14ac:dyDescent="0.3">
      <c r="A17" s="321" t="s">
        <v>387</v>
      </c>
      <c r="B17" s="323">
        <v>751</v>
      </c>
      <c r="C17" s="323">
        <v>3779</v>
      </c>
      <c r="D17" s="323">
        <v>952</v>
      </c>
      <c r="E17" s="323">
        <v>894</v>
      </c>
      <c r="F17" s="323">
        <v>1598</v>
      </c>
      <c r="G17" s="323">
        <v>1598</v>
      </c>
    </row>
    <row r="18" spans="1:7" x14ac:dyDescent="0.3">
      <c r="A18" s="321" t="s">
        <v>388</v>
      </c>
      <c r="B18" s="323">
        <v>1933</v>
      </c>
      <c r="C18" s="323">
        <v>2748</v>
      </c>
      <c r="D18" s="323">
        <v>3418</v>
      </c>
      <c r="E18" s="323">
        <v>3727</v>
      </c>
      <c r="F18" s="323">
        <v>2815</v>
      </c>
      <c r="G18" s="323">
        <v>2815</v>
      </c>
    </row>
    <row r="19" spans="1:7" x14ac:dyDescent="0.3">
      <c r="A19" s="321" t="s">
        <v>389</v>
      </c>
      <c r="B19" s="323">
        <v>20</v>
      </c>
      <c r="C19" s="323">
        <v>-2461</v>
      </c>
      <c r="D19" s="323">
        <v>-738</v>
      </c>
      <c r="E19" s="323">
        <v>-2888</v>
      </c>
      <c r="F19" s="323">
        <v>-2384</v>
      </c>
      <c r="G19" s="323">
        <v>-2384</v>
      </c>
    </row>
    <row r="20" spans="1:7" x14ac:dyDescent="0.3">
      <c r="A20" s="284" t="s">
        <v>390</v>
      </c>
      <c r="B20" s="285">
        <v>2367</v>
      </c>
      <c r="C20" s="285">
        <v>6843</v>
      </c>
      <c r="D20" s="285">
        <v>6991</v>
      </c>
      <c r="E20" s="285">
        <v>9291</v>
      </c>
      <c r="F20" s="285">
        <v>11407</v>
      </c>
      <c r="G20" s="284">
        <v>13091</v>
      </c>
    </row>
    <row r="21" spans="1:7" x14ac:dyDescent="0.3">
      <c r="A21" s="321"/>
      <c r="B21" s="321"/>
      <c r="C21" s="321"/>
      <c r="D21" s="321"/>
      <c r="E21" s="321"/>
      <c r="F21" s="321"/>
      <c r="G21" s="321"/>
    </row>
    <row r="22" spans="1:7" x14ac:dyDescent="0.3">
      <c r="A22" s="321" t="s">
        <v>391</v>
      </c>
      <c r="B22" s="323">
        <v>-699</v>
      </c>
      <c r="C22" s="323">
        <v>-1367</v>
      </c>
      <c r="D22" s="323">
        <v>-1497</v>
      </c>
      <c r="E22" s="323">
        <v>-2576</v>
      </c>
      <c r="F22" s="323">
        <v>-2082</v>
      </c>
      <c r="G22" s="323">
        <v>-2554</v>
      </c>
    </row>
    <row r="23" spans="1:7" x14ac:dyDescent="0.3">
      <c r="A23" s="321" t="s">
        <v>392</v>
      </c>
      <c r="B23" s="323">
        <v>24</v>
      </c>
      <c r="C23" s="323" t="s">
        <v>128</v>
      </c>
      <c r="D23" s="323" t="s">
        <v>128</v>
      </c>
      <c r="E23" s="323" t="s">
        <v>128</v>
      </c>
      <c r="F23" s="323" t="s">
        <v>128</v>
      </c>
      <c r="G23" s="323" t="s">
        <v>128</v>
      </c>
    </row>
    <row r="24" spans="1:7" x14ac:dyDescent="0.3">
      <c r="A24" s="321" t="s">
        <v>393</v>
      </c>
      <c r="B24" s="323">
        <v>-37609</v>
      </c>
      <c r="C24" s="323">
        <v>-658</v>
      </c>
      <c r="D24" s="323">
        <v>-971</v>
      </c>
      <c r="E24" s="323">
        <v>-2463</v>
      </c>
      <c r="F24" s="323">
        <v>-424</v>
      </c>
      <c r="G24" s="323">
        <v>-35</v>
      </c>
    </row>
    <row r="25" spans="1:7" x14ac:dyDescent="0.3">
      <c r="A25" s="321" t="s">
        <v>394</v>
      </c>
      <c r="B25" s="323">
        <v>6873</v>
      </c>
      <c r="C25" s="323" t="s">
        <v>128</v>
      </c>
      <c r="D25" s="323">
        <v>130</v>
      </c>
      <c r="E25" s="323">
        <v>-3</v>
      </c>
      <c r="F25" s="323">
        <v>2187</v>
      </c>
      <c r="G25" s="323">
        <v>3957</v>
      </c>
    </row>
    <row r="26" spans="1:7" x14ac:dyDescent="0.3">
      <c r="A26" s="321" t="s">
        <v>395</v>
      </c>
      <c r="B26" s="323">
        <v>-207</v>
      </c>
      <c r="C26" s="323">
        <v>-369</v>
      </c>
      <c r="D26" s="323" t="s">
        <v>128</v>
      </c>
      <c r="E26" s="323" t="s">
        <v>128</v>
      </c>
      <c r="F26" s="323" t="s">
        <v>128</v>
      </c>
      <c r="G26" s="323" t="s">
        <v>128</v>
      </c>
    </row>
    <row r="27" spans="1:7" x14ac:dyDescent="0.3">
      <c r="A27" s="321" t="s">
        <v>396</v>
      </c>
      <c r="B27" s="323">
        <v>395</v>
      </c>
      <c r="C27" s="323">
        <v>-511</v>
      </c>
      <c r="D27" s="323">
        <v>5687</v>
      </c>
      <c r="E27" s="323">
        <v>316</v>
      </c>
      <c r="F27" s="323">
        <v>-169</v>
      </c>
      <c r="G27" s="323">
        <v>163</v>
      </c>
    </row>
    <row r="28" spans="1:7" x14ac:dyDescent="0.3">
      <c r="A28" s="321" t="s">
        <v>397</v>
      </c>
      <c r="B28" s="323">
        <v>35</v>
      </c>
      <c r="C28" s="323" t="s">
        <v>128</v>
      </c>
      <c r="D28" s="323" t="s">
        <v>128</v>
      </c>
      <c r="E28" s="323" t="s">
        <v>128</v>
      </c>
      <c r="F28" s="323" t="s">
        <v>128</v>
      </c>
      <c r="G28" s="323" t="s">
        <v>128</v>
      </c>
    </row>
    <row r="29" spans="1:7" x14ac:dyDescent="0.3">
      <c r="A29" s="321" t="s">
        <v>398</v>
      </c>
      <c r="B29" s="323">
        <v>-48</v>
      </c>
      <c r="C29" s="323">
        <v>30</v>
      </c>
      <c r="D29" s="323">
        <v>40</v>
      </c>
      <c r="E29" s="323">
        <v>40</v>
      </c>
      <c r="F29" s="323">
        <v>28</v>
      </c>
      <c r="G29" s="323">
        <v>36</v>
      </c>
    </row>
    <row r="30" spans="1:7" x14ac:dyDescent="0.3">
      <c r="A30" s="284" t="s">
        <v>399</v>
      </c>
      <c r="B30" s="285">
        <v>-31236</v>
      </c>
      <c r="C30" s="285">
        <v>-2875</v>
      </c>
      <c r="D30" s="285">
        <v>3389</v>
      </c>
      <c r="E30" s="285">
        <v>-4686</v>
      </c>
      <c r="F30" s="285">
        <v>-460</v>
      </c>
      <c r="G30" s="284">
        <v>1567</v>
      </c>
    </row>
    <row r="31" spans="1:7" x14ac:dyDescent="0.3">
      <c r="A31" s="321"/>
      <c r="B31" s="321"/>
      <c r="C31" s="321"/>
      <c r="D31" s="321"/>
      <c r="E31" s="321"/>
      <c r="F31" s="321"/>
      <c r="G31" s="321"/>
    </row>
    <row r="32" spans="1:7" x14ac:dyDescent="0.3">
      <c r="A32" s="321" t="s">
        <v>400</v>
      </c>
      <c r="B32" s="323" t="s">
        <v>128</v>
      </c>
      <c r="C32" s="323" t="s">
        <v>128</v>
      </c>
      <c r="D32" s="323" t="s">
        <v>128</v>
      </c>
      <c r="E32" s="323" t="s">
        <v>128</v>
      </c>
      <c r="F32" s="323" t="s">
        <v>128</v>
      </c>
      <c r="G32" s="323" t="s">
        <v>128</v>
      </c>
    </row>
    <row r="33" spans="1:7" x14ac:dyDescent="0.3">
      <c r="A33" s="321" t="s">
        <v>401</v>
      </c>
      <c r="B33" s="323">
        <v>46857</v>
      </c>
      <c r="C33" s="323">
        <v>14415</v>
      </c>
      <c r="D33" s="323">
        <v>13045</v>
      </c>
      <c r="E33" s="323">
        <v>20481</v>
      </c>
      <c r="F33" s="323">
        <v>16391</v>
      </c>
      <c r="G33" s="323" t="s">
        <v>128</v>
      </c>
    </row>
    <row r="34" spans="1:7" x14ac:dyDescent="0.3">
      <c r="A34" s="320" t="s">
        <v>402</v>
      </c>
      <c r="B34" s="324">
        <v>46857</v>
      </c>
      <c r="C34" s="324">
        <v>14415</v>
      </c>
      <c r="D34" s="324">
        <v>13045</v>
      </c>
      <c r="E34" s="324">
        <v>20481</v>
      </c>
      <c r="F34" s="324">
        <v>16391</v>
      </c>
      <c r="G34" s="324">
        <v>14656</v>
      </c>
    </row>
    <row r="35" spans="1:7" x14ac:dyDescent="0.3">
      <c r="A35" s="321" t="s">
        <v>403</v>
      </c>
      <c r="B35" s="323" t="s">
        <v>128</v>
      </c>
      <c r="C35" s="323" t="s">
        <v>128</v>
      </c>
      <c r="D35" s="323" t="s">
        <v>128</v>
      </c>
      <c r="E35" s="323" t="s">
        <v>128</v>
      </c>
      <c r="F35" s="323" t="s">
        <v>128</v>
      </c>
      <c r="G35" s="323" t="s">
        <v>128</v>
      </c>
    </row>
    <row r="36" spans="1:7" x14ac:dyDescent="0.3">
      <c r="A36" s="321" t="s">
        <v>404</v>
      </c>
      <c r="B36" s="323">
        <v>-16960</v>
      </c>
      <c r="C36" s="323">
        <v>-12258</v>
      </c>
      <c r="D36" s="323">
        <v>-11451</v>
      </c>
      <c r="E36" s="323">
        <v>-22117</v>
      </c>
      <c r="F36" s="323">
        <v>-20919</v>
      </c>
      <c r="G36" s="323" t="s">
        <v>128</v>
      </c>
    </row>
    <row r="37" spans="1:7" x14ac:dyDescent="0.3">
      <c r="A37" s="320" t="s">
        <v>405</v>
      </c>
      <c r="B37" s="324">
        <v>-16960</v>
      </c>
      <c r="C37" s="324">
        <v>-12258</v>
      </c>
      <c r="D37" s="324">
        <v>-11451</v>
      </c>
      <c r="E37" s="324">
        <v>-22117</v>
      </c>
      <c r="F37" s="324">
        <v>-20919</v>
      </c>
      <c r="G37" s="324">
        <v>-16744</v>
      </c>
    </row>
    <row r="38" spans="1:7" x14ac:dyDescent="0.3">
      <c r="A38" s="321"/>
      <c r="B38" s="321"/>
      <c r="C38" s="321"/>
      <c r="D38" s="321"/>
      <c r="E38" s="321"/>
      <c r="F38" s="321"/>
      <c r="G38" s="321"/>
    </row>
    <row r="39" spans="1:7" x14ac:dyDescent="0.3">
      <c r="A39" s="321" t="s">
        <v>406</v>
      </c>
      <c r="B39" s="323">
        <v>4422</v>
      </c>
      <c r="C39" s="323">
        <v>132</v>
      </c>
      <c r="D39" s="323">
        <v>805</v>
      </c>
      <c r="E39" s="323">
        <v>658</v>
      </c>
      <c r="F39" s="323">
        <v>452</v>
      </c>
      <c r="G39" s="323">
        <v>389</v>
      </c>
    </row>
    <row r="40" spans="1:7" x14ac:dyDescent="0.3">
      <c r="A40" s="321" t="s">
        <v>407</v>
      </c>
      <c r="B40" s="323">
        <v>-804</v>
      </c>
      <c r="C40" s="323">
        <v>-1108</v>
      </c>
      <c r="D40" s="323">
        <v>-14075</v>
      </c>
      <c r="E40" s="323">
        <v>-8</v>
      </c>
      <c r="F40" s="323">
        <v>-241</v>
      </c>
      <c r="G40" s="323">
        <v>-36</v>
      </c>
    </row>
    <row r="41" spans="1:7" x14ac:dyDescent="0.3">
      <c r="A41" s="321"/>
      <c r="B41" s="321"/>
      <c r="C41" s="321"/>
      <c r="D41" s="321"/>
      <c r="E41" s="321"/>
      <c r="F41" s="321"/>
      <c r="G41" s="321"/>
    </row>
    <row r="42" spans="1:7" x14ac:dyDescent="0.3">
      <c r="A42" s="320" t="s">
        <v>408</v>
      </c>
      <c r="B42" s="324" t="s">
        <v>128</v>
      </c>
      <c r="C42" s="324" t="s">
        <v>128</v>
      </c>
      <c r="D42" s="324" t="s">
        <v>128</v>
      </c>
      <c r="E42" s="324" t="s">
        <v>128</v>
      </c>
      <c r="F42" s="324" t="s">
        <v>128</v>
      </c>
      <c r="G42" s="324" t="s">
        <v>128</v>
      </c>
    </row>
    <row r="43" spans="1:7" x14ac:dyDescent="0.3">
      <c r="A43" s="321"/>
      <c r="B43" s="321"/>
      <c r="C43" s="321"/>
      <c r="D43" s="321"/>
      <c r="E43" s="321"/>
      <c r="F43" s="321"/>
      <c r="G43" s="321"/>
    </row>
    <row r="44" spans="1:7" x14ac:dyDescent="0.3">
      <c r="A44" s="321" t="s">
        <v>409</v>
      </c>
      <c r="B44" s="323" t="s">
        <v>128</v>
      </c>
      <c r="C44" s="323" t="s">
        <v>128</v>
      </c>
      <c r="D44" s="323" t="s">
        <v>128</v>
      </c>
      <c r="E44" s="323" t="s">
        <v>128</v>
      </c>
      <c r="F44" s="323" t="s">
        <v>128</v>
      </c>
      <c r="G44" s="323" t="s">
        <v>128</v>
      </c>
    </row>
    <row r="45" spans="1:7" x14ac:dyDescent="0.3">
      <c r="A45" s="321" t="s">
        <v>410</v>
      </c>
      <c r="B45" s="323">
        <v>-1730</v>
      </c>
      <c r="C45" s="323">
        <v>-778</v>
      </c>
      <c r="D45" s="323">
        <v>-2653</v>
      </c>
      <c r="E45" s="323">
        <v>-3618</v>
      </c>
      <c r="F45" s="323">
        <v>-1633</v>
      </c>
      <c r="G45" s="323">
        <v>-1760</v>
      </c>
    </row>
    <row r="46" spans="1:7" x14ac:dyDescent="0.3">
      <c r="A46" s="320" t="s">
        <v>411</v>
      </c>
      <c r="B46" s="324">
        <v>31785</v>
      </c>
      <c r="C46" s="324">
        <v>403</v>
      </c>
      <c r="D46" s="324">
        <v>-14329</v>
      </c>
      <c r="E46" s="324">
        <v>-4604</v>
      </c>
      <c r="F46" s="324">
        <v>-5950</v>
      </c>
      <c r="G46" s="324">
        <v>-3495</v>
      </c>
    </row>
    <row r="47" spans="1:7" x14ac:dyDescent="0.3">
      <c r="A47" s="321"/>
      <c r="B47" s="321"/>
      <c r="C47" s="321"/>
      <c r="D47" s="321"/>
      <c r="E47" s="321"/>
      <c r="F47" s="321"/>
      <c r="G47" s="321"/>
    </row>
    <row r="48" spans="1:7" x14ac:dyDescent="0.3">
      <c r="A48" s="321" t="s">
        <v>412</v>
      </c>
      <c r="B48" s="323">
        <v>24</v>
      </c>
      <c r="C48" s="323">
        <v>175</v>
      </c>
      <c r="D48" s="323">
        <v>-189</v>
      </c>
      <c r="E48" s="323">
        <v>-90</v>
      </c>
      <c r="F48" s="323">
        <v>36</v>
      </c>
      <c r="G48" s="323">
        <v>49</v>
      </c>
    </row>
    <row r="49" spans="1:7" x14ac:dyDescent="0.3">
      <c r="A49" s="284" t="s">
        <v>413</v>
      </c>
      <c r="B49" s="285">
        <v>2940</v>
      </c>
      <c r="C49" s="285">
        <v>4546</v>
      </c>
      <c r="D49" s="285">
        <v>-4138</v>
      </c>
      <c r="E49" s="285">
        <v>-89</v>
      </c>
      <c r="F49" s="285">
        <v>5033</v>
      </c>
      <c r="G49" s="284">
        <v>11212</v>
      </c>
    </row>
    <row r="50" spans="1:7" x14ac:dyDescent="0.3">
      <c r="A50" s="321"/>
      <c r="B50" s="321"/>
      <c r="C50" s="321"/>
      <c r="D50" s="321"/>
      <c r="E50" s="321"/>
      <c r="F50" s="321"/>
      <c r="G50" s="321"/>
    </row>
    <row r="51" spans="1:7" x14ac:dyDescent="0.3">
      <c r="A51" s="320" t="s">
        <v>334</v>
      </c>
      <c r="B51" s="321"/>
      <c r="C51" s="321"/>
      <c r="D51" s="321"/>
      <c r="E51" s="321"/>
      <c r="F51" s="321"/>
      <c r="G51" s="321"/>
    </row>
    <row r="52" spans="1:7" x14ac:dyDescent="0.3">
      <c r="A52" s="321" t="s">
        <v>414</v>
      </c>
      <c r="B52" s="323">
        <v>1575</v>
      </c>
      <c r="C52" s="323">
        <v>2192</v>
      </c>
      <c r="D52" s="323">
        <v>2347</v>
      </c>
      <c r="E52" s="323">
        <v>2500</v>
      </c>
      <c r="F52" s="323">
        <v>2279</v>
      </c>
      <c r="G52" s="323">
        <v>2279</v>
      </c>
    </row>
    <row r="53" spans="1:7" x14ac:dyDescent="0.3">
      <c r="A53" s="321" t="s">
        <v>415</v>
      </c>
      <c r="B53" s="323">
        <v>978</v>
      </c>
      <c r="C53" s="323">
        <v>924</v>
      </c>
      <c r="D53" s="323">
        <v>747</v>
      </c>
      <c r="E53" s="323">
        <v>1414</v>
      </c>
      <c r="F53" s="323">
        <v>1421</v>
      </c>
      <c r="G53" s="323">
        <v>1421</v>
      </c>
    </row>
    <row r="54" spans="1:7" x14ac:dyDescent="0.3">
      <c r="A54" s="321" t="s">
        <v>416</v>
      </c>
      <c r="B54" s="323">
        <v>11622.75</v>
      </c>
      <c r="C54" s="323">
        <v>7258.25</v>
      </c>
      <c r="D54" s="323">
        <v>5953.5</v>
      </c>
      <c r="E54" s="323">
        <v>8897.75</v>
      </c>
      <c r="F54" s="323">
        <v>8473.75</v>
      </c>
      <c r="G54" s="323">
        <v>4929</v>
      </c>
    </row>
    <row r="55" spans="1:7" x14ac:dyDescent="0.3">
      <c r="A55" s="321" t="s">
        <v>172</v>
      </c>
      <c r="B55" s="323">
        <v>12449.125</v>
      </c>
      <c r="C55" s="323">
        <v>8762</v>
      </c>
      <c r="D55" s="323">
        <v>7508.5</v>
      </c>
      <c r="E55" s="323">
        <v>10569.625</v>
      </c>
      <c r="F55" s="323">
        <v>9966.875</v>
      </c>
      <c r="G55" s="323">
        <v>5841.5</v>
      </c>
    </row>
    <row r="56" spans="1:7" x14ac:dyDescent="0.3">
      <c r="A56" s="321" t="s">
        <v>417</v>
      </c>
      <c r="B56" s="323">
        <v>-9492</v>
      </c>
      <c r="C56" s="323">
        <v>-2524</v>
      </c>
      <c r="D56" s="323">
        <v>-209</v>
      </c>
      <c r="E56" s="323">
        <v>-3570</v>
      </c>
      <c r="F56" s="323">
        <v>-1983</v>
      </c>
      <c r="G56" s="323">
        <v>2267</v>
      </c>
    </row>
    <row r="57" spans="1:7" x14ac:dyDescent="0.3">
      <c r="A57" s="321" t="s">
        <v>418</v>
      </c>
      <c r="B57" s="323">
        <v>29897</v>
      </c>
      <c r="C57" s="323">
        <v>2157</v>
      </c>
      <c r="D57" s="323">
        <v>1594</v>
      </c>
      <c r="E57" s="323">
        <v>-1636</v>
      </c>
      <c r="F57" s="323">
        <v>-4528</v>
      </c>
      <c r="G57" s="323">
        <v>-2088</v>
      </c>
    </row>
    <row r="58" spans="1:7" x14ac:dyDescent="0.3">
      <c r="A58" s="321" t="s">
        <v>348</v>
      </c>
      <c r="B58" s="325">
        <v>43553</v>
      </c>
      <c r="C58" s="325">
        <v>43917</v>
      </c>
      <c r="D58" s="325">
        <v>44281</v>
      </c>
      <c r="E58" s="325">
        <v>44281</v>
      </c>
      <c r="F58" s="325">
        <v>44281</v>
      </c>
      <c r="G58" s="325">
        <v>44523</v>
      </c>
    </row>
    <row r="59" spans="1:7" x14ac:dyDescent="0.3">
      <c r="A59" s="321" t="s">
        <v>349</v>
      </c>
      <c r="B59" s="326" t="s">
        <v>350</v>
      </c>
      <c r="C59" s="326" t="s">
        <v>350</v>
      </c>
      <c r="D59" s="326" t="s">
        <v>351</v>
      </c>
      <c r="E59" s="326" t="s">
        <v>351</v>
      </c>
      <c r="F59" s="326" t="s">
        <v>352</v>
      </c>
      <c r="G59" s="326" t="s">
        <v>419</v>
      </c>
    </row>
    <row r="60" spans="1:7" x14ac:dyDescent="0.3">
      <c r="A60" s="321" t="s">
        <v>353</v>
      </c>
      <c r="B60" s="326" t="s">
        <v>354</v>
      </c>
      <c r="C60" s="326" t="s">
        <v>354</v>
      </c>
      <c r="D60" s="326" t="s">
        <v>354</v>
      </c>
      <c r="E60" s="326" t="s">
        <v>354</v>
      </c>
      <c r="F60" s="326" t="s">
        <v>354</v>
      </c>
      <c r="G60" s="326" t="s">
        <v>420</v>
      </c>
    </row>
    <row r="61" spans="1:7" x14ac:dyDescent="0.3">
      <c r="A61" s="321"/>
      <c r="B61" s="321"/>
      <c r="C61" s="321"/>
      <c r="D61" s="321"/>
      <c r="E61" s="321"/>
      <c r="F61" s="321"/>
      <c r="G61" s="321"/>
    </row>
    <row r="62" spans="1:7" ht="99" x14ac:dyDescent="0.3">
      <c r="A62" s="328" t="s">
        <v>421</v>
      </c>
      <c r="B62" s="329"/>
      <c r="C62" s="329"/>
      <c r="D62" s="329"/>
      <c r="E62" s="329"/>
      <c r="F62" s="329"/>
      <c r="G62" s="3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78E6-AAAB-294A-BA9C-609FA307DCA4}">
  <sheetPr>
    <tabColor rgb="FFFF0000"/>
  </sheetPr>
  <dimension ref="A1"/>
  <sheetViews>
    <sheetView tabSelected="1" topLeftCell="A22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C542-98CC-4E4A-B424-B2021ABF0ABF}">
  <dimension ref="B4:M69"/>
  <sheetViews>
    <sheetView zoomScale="85" zoomScaleNormal="85" workbookViewId="0">
      <selection activeCell="C30" sqref="C30"/>
    </sheetView>
  </sheetViews>
  <sheetFormatPr defaultColWidth="8.85546875" defaultRowHeight="16.5" x14ac:dyDescent="0.3"/>
  <cols>
    <col min="1" max="1" width="8.85546875" style="76"/>
    <col min="2" max="2" width="44.42578125" style="76" bestFit="1" customWidth="1"/>
    <col min="3" max="3" width="16.140625" style="76" bestFit="1" customWidth="1"/>
    <col min="4" max="12" width="12.42578125" style="76" customWidth="1"/>
    <col min="13" max="16384" width="8.85546875" style="76"/>
  </cols>
  <sheetData>
    <row r="4" spans="2:13" x14ac:dyDescent="0.3">
      <c r="B4" s="170" t="s">
        <v>1</v>
      </c>
      <c r="C4" s="170"/>
      <c r="D4" s="170"/>
      <c r="F4" s="170" t="s">
        <v>15</v>
      </c>
      <c r="G4" s="170"/>
      <c r="H4" s="170"/>
      <c r="I4" s="171"/>
      <c r="J4" s="171"/>
    </row>
    <row r="5" spans="2:13" x14ac:dyDescent="0.3">
      <c r="B5" s="172" t="s">
        <v>16</v>
      </c>
      <c r="C5" s="173"/>
      <c r="D5" s="291">
        <v>0.21</v>
      </c>
      <c r="F5" s="172" t="s">
        <v>17</v>
      </c>
      <c r="G5" s="173"/>
      <c r="H5" s="173"/>
      <c r="I5" s="173"/>
      <c r="J5" s="295">
        <f>'Balance Sheet'!G25+'Balance Sheet'!G32</f>
        <v>47984</v>
      </c>
    </row>
    <row r="6" spans="2:13" x14ac:dyDescent="0.3">
      <c r="B6" s="174" t="s">
        <v>18</v>
      </c>
      <c r="D6" s="292">
        <v>1.6400000000000001E-2</v>
      </c>
      <c r="F6" s="174" t="s">
        <v>19</v>
      </c>
      <c r="J6" s="160">
        <v>56.18</v>
      </c>
      <c r="K6" s="76" t="s">
        <v>422</v>
      </c>
    </row>
    <row r="7" spans="2:13" x14ac:dyDescent="0.3">
      <c r="B7" s="175" t="s">
        <v>20</v>
      </c>
      <c r="C7" s="176"/>
      <c r="D7" s="293">
        <v>5.5E-2</v>
      </c>
      <c r="F7" s="175" t="s">
        <v>21</v>
      </c>
      <c r="G7" s="176"/>
      <c r="H7" s="176"/>
      <c r="I7" s="176"/>
      <c r="J7" s="294">
        <v>766.79</v>
      </c>
    </row>
    <row r="10" spans="2:13" x14ac:dyDescent="0.3">
      <c r="B10" s="170" t="s">
        <v>22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2" spans="2:13" x14ac:dyDescent="0.3">
      <c r="B12" s="76" t="s">
        <v>23</v>
      </c>
      <c r="C12" s="76">
        <v>2</v>
      </c>
      <c r="D12" s="76" t="s">
        <v>24</v>
      </c>
    </row>
    <row r="14" spans="2:13" x14ac:dyDescent="0.3">
      <c r="B14" s="79" t="s">
        <v>1</v>
      </c>
      <c r="C14" s="177">
        <v>44562</v>
      </c>
      <c r="D14" s="177">
        <f>EOMONTH(C14,12)</f>
        <v>44957</v>
      </c>
      <c r="E14" s="177" t="s">
        <v>25</v>
      </c>
      <c r="F14" s="177" t="s">
        <v>26</v>
      </c>
      <c r="G14" s="177" t="s">
        <v>27</v>
      </c>
    </row>
    <row r="15" spans="2:13" x14ac:dyDescent="0.3">
      <c r="B15" s="178" t="s">
        <v>28</v>
      </c>
      <c r="C15" s="179">
        <f>CHOOSE($C$12,C27,C28,C29)</f>
        <v>7.2999999999999995E-2</v>
      </c>
      <c r="D15" s="180">
        <f t="shared" ref="D15:G15" si="0">CHOOSE($C$12,D27,D28,D29)</f>
        <v>7.2999999999999995E-2</v>
      </c>
      <c r="E15" s="180">
        <f t="shared" si="0"/>
        <v>7.2999999999999995E-2</v>
      </c>
      <c r="F15" s="180">
        <f t="shared" si="0"/>
        <v>7.2999999999999995E-2</v>
      </c>
      <c r="G15" s="181">
        <f t="shared" si="0"/>
        <v>7.2999999999999995E-2</v>
      </c>
    </row>
    <row r="16" spans="2:13" x14ac:dyDescent="0.3">
      <c r="B16" s="182" t="s">
        <v>29</v>
      </c>
      <c r="C16" s="183">
        <f>CHOOSE($C$12,C32,C33,C34)</f>
        <v>0.04</v>
      </c>
      <c r="D16" s="184">
        <f>CHOOSE($C$12,D32,D33,D34)</f>
        <v>0.04</v>
      </c>
      <c r="E16" s="184">
        <f>CHOOSE($C$12,E32,E33,E34)</f>
        <v>0.04</v>
      </c>
      <c r="F16" s="184">
        <f>CHOOSE($C$12,F32,F33,F34)</f>
        <v>0.04</v>
      </c>
      <c r="G16" s="185">
        <f>CHOOSE($C$12,G32,G33,G34)</f>
        <v>0.04</v>
      </c>
    </row>
    <row r="17" spans="2:7" x14ac:dyDescent="0.3">
      <c r="B17" s="182" t="s">
        <v>30</v>
      </c>
      <c r="C17" s="183">
        <f t="shared" ref="C17:G17" si="1">CHOOSE($C$12,C37,C38,C39)</f>
        <v>0.21</v>
      </c>
      <c r="D17" s="184">
        <f t="shared" si="1"/>
        <v>0.21</v>
      </c>
      <c r="E17" s="184">
        <f t="shared" si="1"/>
        <v>0.21</v>
      </c>
      <c r="F17" s="184">
        <f t="shared" si="1"/>
        <v>0.21</v>
      </c>
      <c r="G17" s="185">
        <f t="shared" si="1"/>
        <v>0.21</v>
      </c>
    </row>
    <row r="18" spans="2:7" x14ac:dyDescent="0.3">
      <c r="B18" s="182" t="s">
        <v>31</v>
      </c>
      <c r="C18" s="183">
        <f t="shared" ref="C18:G18" si="2">CHOOSE($C$12,C42,C43,C44)</f>
        <v>0.14199999999999999</v>
      </c>
      <c r="D18" s="184">
        <f t="shared" si="2"/>
        <v>0.14199999999999999</v>
      </c>
      <c r="E18" s="184">
        <f t="shared" si="2"/>
        <v>0.14199999999999999</v>
      </c>
      <c r="F18" s="184">
        <f t="shared" si="2"/>
        <v>0.14199999999999999</v>
      </c>
      <c r="G18" s="185">
        <f t="shared" si="2"/>
        <v>0.14199999999999999</v>
      </c>
    </row>
    <row r="19" spans="2:7" x14ac:dyDescent="0.3">
      <c r="B19" s="182" t="s">
        <v>32</v>
      </c>
      <c r="C19" s="183">
        <f t="shared" ref="C19:G19" si="3">CHOOSE($C$12,C47,C48,C49)</f>
        <v>3.6999999999999998E-2</v>
      </c>
      <c r="D19" s="184">
        <f t="shared" si="3"/>
        <v>3.6999999999999998E-2</v>
      </c>
      <c r="E19" s="184">
        <f t="shared" si="3"/>
        <v>3.6999999999999998E-2</v>
      </c>
      <c r="F19" s="184">
        <f t="shared" si="3"/>
        <v>3.6999999999999998E-2</v>
      </c>
      <c r="G19" s="185">
        <f t="shared" si="3"/>
        <v>3.6999999999999998E-2</v>
      </c>
    </row>
    <row r="20" spans="2:7" x14ac:dyDescent="0.3">
      <c r="B20" s="182" t="s">
        <v>33</v>
      </c>
      <c r="C20" s="183">
        <f>CHOOSE($C$12,C52,C53,C54)</f>
        <v>0.22500000000000001</v>
      </c>
      <c r="D20" s="184">
        <f>CHOOSE($C$12,D52,D53,D54)</f>
        <v>0.22500000000000001</v>
      </c>
      <c r="E20" s="184">
        <f>CHOOSE($C$12,E52,E53,E54)</f>
        <v>0.22500000000000001</v>
      </c>
      <c r="F20" s="184">
        <f>CHOOSE($C$12,F52,F53,F54)</f>
        <v>0.22500000000000001</v>
      </c>
      <c r="G20" s="185">
        <f>CHOOSE($C$12,G52,G53,G54)</f>
        <v>0.22500000000000001</v>
      </c>
    </row>
    <row r="21" spans="2:7" x14ac:dyDescent="0.3">
      <c r="B21" s="182" t="s">
        <v>34</v>
      </c>
      <c r="C21" s="183">
        <f t="shared" ref="C21:G21" si="4">CHOOSE($C$12,C57,C58,C59)</f>
        <v>1.2E-2</v>
      </c>
      <c r="D21" s="184">
        <f t="shared" si="4"/>
        <v>1.2E-2</v>
      </c>
      <c r="E21" s="184">
        <f t="shared" si="4"/>
        <v>1.2E-2</v>
      </c>
      <c r="F21" s="184">
        <f t="shared" si="4"/>
        <v>1.2E-2</v>
      </c>
      <c r="G21" s="185">
        <f t="shared" si="4"/>
        <v>1.2E-2</v>
      </c>
    </row>
    <row r="22" spans="2:7" x14ac:dyDescent="0.3">
      <c r="B22" s="182" t="s">
        <v>35</v>
      </c>
      <c r="C22" s="183">
        <f t="shared" ref="C22:G22" si="5">CHOOSE($C$12,C62,C63,C64)</f>
        <v>0.02</v>
      </c>
      <c r="D22" s="184">
        <f t="shared" si="5"/>
        <v>0.02</v>
      </c>
      <c r="E22" s="184">
        <f t="shared" si="5"/>
        <v>0.02</v>
      </c>
      <c r="F22" s="184">
        <f t="shared" si="5"/>
        <v>0.02</v>
      </c>
      <c r="G22" s="185">
        <f t="shared" si="5"/>
        <v>0.02</v>
      </c>
    </row>
    <row r="23" spans="2:7" x14ac:dyDescent="0.3">
      <c r="B23" s="186" t="s">
        <v>36</v>
      </c>
      <c r="C23" s="187">
        <f t="shared" ref="C23:G23" si="6">CHOOSE($C$12,C67,C68,C69)</f>
        <v>0.84099999999999997</v>
      </c>
      <c r="D23" s="188">
        <f t="shared" si="6"/>
        <v>0.84099999999999997</v>
      </c>
      <c r="E23" s="188">
        <f t="shared" si="6"/>
        <v>0.84099999999999997</v>
      </c>
      <c r="F23" s="188">
        <f t="shared" si="6"/>
        <v>0.84099999999999997</v>
      </c>
      <c r="G23" s="189">
        <f t="shared" si="6"/>
        <v>0.84099999999999997</v>
      </c>
    </row>
    <row r="26" spans="2:7" x14ac:dyDescent="0.3">
      <c r="B26" s="190" t="s">
        <v>28</v>
      </c>
      <c r="C26" s="191">
        <v>44562</v>
      </c>
      <c r="D26" s="191">
        <f>EOMONTH(C26,12)</f>
        <v>44957</v>
      </c>
      <c r="E26" s="191" t="s">
        <v>25</v>
      </c>
      <c r="F26" s="191" t="s">
        <v>26</v>
      </c>
      <c r="G26" s="192" t="s">
        <v>27</v>
      </c>
    </row>
    <row r="27" spans="2:7" x14ac:dyDescent="0.3">
      <c r="B27" s="120" t="s">
        <v>37</v>
      </c>
      <c r="C27" s="193">
        <v>8.3000000000000004E-2</v>
      </c>
      <c r="D27" s="194">
        <f>C27</f>
        <v>8.3000000000000004E-2</v>
      </c>
      <c r="E27" s="194">
        <f t="shared" ref="E27:G27" si="7">D27</f>
        <v>8.3000000000000004E-2</v>
      </c>
      <c r="F27" s="194">
        <f>E27</f>
        <v>8.3000000000000004E-2</v>
      </c>
      <c r="G27" s="195">
        <f t="shared" si="7"/>
        <v>8.3000000000000004E-2</v>
      </c>
    </row>
    <row r="28" spans="2:7" x14ac:dyDescent="0.3">
      <c r="B28" s="3" t="s">
        <v>38</v>
      </c>
      <c r="C28" s="196">
        <v>7.2999999999999995E-2</v>
      </c>
      <c r="D28" s="197">
        <f>C28</f>
        <v>7.2999999999999995E-2</v>
      </c>
      <c r="E28" s="197">
        <f>D28</f>
        <v>7.2999999999999995E-2</v>
      </c>
      <c r="F28" s="197">
        <f>E28</f>
        <v>7.2999999999999995E-2</v>
      </c>
      <c r="G28" s="198">
        <f>F28</f>
        <v>7.2999999999999995E-2</v>
      </c>
    </row>
    <row r="29" spans="2:7" x14ac:dyDescent="0.3">
      <c r="B29" s="119" t="s">
        <v>39</v>
      </c>
      <c r="C29" s="199">
        <v>6.3E-2</v>
      </c>
      <c r="D29" s="200">
        <f>C29</f>
        <v>6.3E-2</v>
      </c>
      <c r="E29" s="200">
        <f t="shared" ref="E29:G29" si="8">D29</f>
        <v>6.3E-2</v>
      </c>
      <c r="F29" s="200">
        <f>E29</f>
        <v>6.3E-2</v>
      </c>
      <c r="G29" s="201">
        <f t="shared" si="8"/>
        <v>6.3E-2</v>
      </c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90" t="s">
        <v>29</v>
      </c>
      <c r="C31" s="191">
        <v>44562</v>
      </c>
      <c r="D31" s="191">
        <f>EOMONTH(C31,12)</f>
        <v>44957</v>
      </c>
      <c r="E31" s="191" t="s">
        <v>25</v>
      </c>
      <c r="F31" s="191" t="s">
        <v>26</v>
      </c>
      <c r="G31" s="192" t="s">
        <v>27</v>
      </c>
    </row>
    <row r="32" spans="2:7" x14ac:dyDescent="0.3">
      <c r="B32" s="120" t="s">
        <v>37</v>
      </c>
      <c r="C32" s="193">
        <v>0.05</v>
      </c>
      <c r="D32" s="194">
        <v>0.05</v>
      </c>
      <c r="E32" s="194">
        <v>0.05</v>
      </c>
      <c r="F32" s="194">
        <v>0.05</v>
      </c>
      <c r="G32" s="195">
        <v>0.05</v>
      </c>
    </row>
    <row r="33" spans="2:7" x14ac:dyDescent="0.3">
      <c r="B33" s="3" t="s">
        <v>38</v>
      </c>
      <c r="C33" s="196">
        <v>0.04</v>
      </c>
      <c r="D33" s="197">
        <v>0.04</v>
      </c>
      <c r="E33" s="197">
        <v>0.04</v>
      </c>
      <c r="F33" s="197">
        <v>0.04</v>
      </c>
      <c r="G33" s="198">
        <v>0.04</v>
      </c>
    </row>
    <row r="34" spans="2:7" x14ac:dyDescent="0.3">
      <c r="B34" s="119" t="s">
        <v>39</v>
      </c>
      <c r="C34" s="199">
        <v>0.03</v>
      </c>
      <c r="D34" s="200">
        <v>0.03</v>
      </c>
      <c r="E34" s="200">
        <v>0.03</v>
      </c>
      <c r="F34" s="200">
        <v>0.03</v>
      </c>
      <c r="G34" s="201">
        <v>0.03</v>
      </c>
    </row>
    <row r="35" spans="2:7" x14ac:dyDescent="0.3">
      <c r="B35" s="1"/>
      <c r="C35" s="1"/>
      <c r="D35" s="1"/>
      <c r="E35" s="1"/>
      <c r="F35" s="1"/>
      <c r="G35" s="1"/>
    </row>
    <row r="36" spans="2:7" x14ac:dyDescent="0.3">
      <c r="B36" s="190" t="s">
        <v>40</v>
      </c>
      <c r="C36" s="191">
        <v>44562</v>
      </c>
      <c r="D36" s="191">
        <f>EOMONTH(C36,12)</f>
        <v>44957</v>
      </c>
      <c r="E36" s="191" t="s">
        <v>25</v>
      </c>
      <c r="F36" s="191" t="s">
        <v>26</v>
      </c>
      <c r="G36" s="192" t="s">
        <v>27</v>
      </c>
    </row>
    <row r="37" spans="2:7" x14ac:dyDescent="0.3">
      <c r="B37" s="120" t="s">
        <v>37</v>
      </c>
      <c r="C37" s="193">
        <v>0.21</v>
      </c>
      <c r="D37" s="194">
        <v>0.21</v>
      </c>
      <c r="E37" s="194">
        <v>0.21</v>
      </c>
      <c r="F37" s="194">
        <v>0.21</v>
      </c>
      <c r="G37" s="195">
        <v>0.21</v>
      </c>
    </row>
    <row r="38" spans="2:7" x14ac:dyDescent="0.3">
      <c r="B38" s="3" t="s">
        <v>38</v>
      </c>
      <c r="C38" s="196">
        <v>0.21</v>
      </c>
      <c r="D38" s="197">
        <v>0.21</v>
      </c>
      <c r="E38" s="197">
        <v>0.21</v>
      </c>
      <c r="F38" s="197">
        <v>0.21</v>
      </c>
      <c r="G38" s="198">
        <v>0.21</v>
      </c>
    </row>
    <row r="39" spans="2:7" x14ac:dyDescent="0.3">
      <c r="B39" s="119" t="s">
        <v>39</v>
      </c>
      <c r="C39" s="199">
        <v>0.21</v>
      </c>
      <c r="D39" s="200">
        <v>0.21</v>
      </c>
      <c r="E39" s="200">
        <v>0.21</v>
      </c>
      <c r="F39" s="200">
        <v>0.21</v>
      </c>
      <c r="G39" s="201">
        <v>0.21</v>
      </c>
    </row>
    <row r="41" spans="2:7" x14ac:dyDescent="0.3">
      <c r="B41" s="190" t="s">
        <v>31</v>
      </c>
      <c r="C41" s="191">
        <v>44562</v>
      </c>
      <c r="D41" s="191">
        <f>EOMONTH(C41,12)</f>
        <v>44957</v>
      </c>
      <c r="E41" s="191" t="s">
        <v>25</v>
      </c>
      <c r="F41" s="191" t="s">
        <v>26</v>
      </c>
      <c r="G41" s="192" t="s">
        <v>27</v>
      </c>
    </row>
    <row r="42" spans="2:7" x14ac:dyDescent="0.3">
      <c r="B42" s="120" t="s">
        <v>37</v>
      </c>
      <c r="C42" s="193">
        <v>0.14199999999999999</v>
      </c>
      <c r="D42" s="194">
        <v>0.14199999999999999</v>
      </c>
      <c r="E42" s="194">
        <v>0.14199999999999999</v>
      </c>
      <c r="F42" s="194">
        <v>0.14199999999999999</v>
      </c>
      <c r="G42" s="195">
        <v>0.14199999999999999</v>
      </c>
    </row>
    <row r="43" spans="2:7" x14ac:dyDescent="0.3">
      <c r="B43" s="3" t="s">
        <v>38</v>
      </c>
      <c r="C43" s="196">
        <v>0.14199999999999999</v>
      </c>
      <c r="D43" s="197">
        <v>0.14199999999999999</v>
      </c>
      <c r="E43" s="197">
        <v>0.14199999999999999</v>
      </c>
      <c r="F43" s="197">
        <v>0.14199999999999999</v>
      </c>
      <c r="G43" s="198">
        <v>0.14199999999999999</v>
      </c>
    </row>
    <row r="44" spans="2:7" x14ac:dyDescent="0.3">
      <c r="B44" s="119" t="s">
        <v>39</v>
      </c>
      <c r="C44" s="199">
        <v>0.14199999999999999</v>
      </c>
      <c r="D44" s="200">
        <v>0.14199999999999999</v>
      </c>
      <c r="E44" s="200">
        <v>0.14199999999999999</v>
      </c>
      <c r="F44" s="200">
        <v>0.14199999999999999</v>
      </c>
      <c r="G44" s="201">
        <v>0.14199999999999999</v>
      </c>
    </row>
    <row r="46" spans="2:7" x14ac:dyDescent="0.3">
      <c r="B46" s="190" t="s">
        <v>32</v>
      </c>
      <c r="C46" s="191">
        <v>44562</v>
      </c>
      <c r="D46" s="191">
        <f>EOMONTH(C46,12)</f>
        <v>44957</v>
      </c>
      <c r="E46" s="191" t="s">
        <v>25</v>
      </c>
      <c r="F46" s="191" t="s">
        <v>26</v>
      </c>
      <c r="G46" s="192" t="s">
        <v>27</v>
      </c>
    </row>
    <row r="47" spans="2:7" x14ac:dyDescent="0.3">
      <c r="B47" s="120" t="s">
        <v>37</v>
      </c>
      <c r="C47" s="193">
        <v>5.7000000000000002E-2</v>
      </c>
      <c r="D47" s="194">
        <v>5.7000000000000002E-2</v>
      </c>
      <c r="E47" s="194">
        <v>5.7000000000000002E-2</v>
      </c>
      <c r="F47" s="194">
        <v>5.7000000000000002E-2</v>
      </c>
      <c r="G47" s="195">
        <v>5.7000000000000002E-2</v>
      </c>
    </row>
    <row r="48" spans="2:7" x14ac:dyDescent="0.3">
      <c r="B48" s="3" t="s">
        <v>38</v>
      </c>
      <c r="C48" s="196">
        <v>3.6999999999999998E-2</v>
      </c>
      <c r="D48" s="197">
        <v>3.6999999999999998E-2</v>
      </c>
      <c r="E48" s="197">
        <v>3.6999999999999998E-2</v>
      </c>
      <c r="F48" s="197">
        <v>3.6999999999999998E-2</v>
      </c>
      <c r="G48" s="198">
        <v>3.6999999999999998E-2</v>
      </c>
    </row>
    <row r="49" spans="2:9" x14ac:dyDescent="0.3">
      <c r="B49" s="119" t="s">
        <v>39</v>
      </c>
      <c r="C49" s="199">
        <v>1.7000000000000001E-2</v>
      </c>
      <c r="D49" s="200">
        <v>1.7000000000000001E-2</v>
      </c>
      <c r="E49" s="200">
        <v>1.7000000000000001E-2</v>
      </c>
      <c r="F49" s="200">
        <v>1.7000000000000001E-2</v>
      </c>
      <c r="G49" s="201">
        <v>1.7000000000000001E-2</v>
      </c>
    </row>
    <row r="51" spans="2:9" x14ac:dyDescent="0.3">
      <c r="B51" s="190" t="s">
        <v>33</v>
      </c>
      <c r="C51" s="191">
        <v>44562</v>
      </c>
      <c r="D51" s="191">
        <f>EOMONTH(C51,12)</f>
        <v>44957</v>
      </c>
      <c r="E51" s="191" t="s">
        <v>25</v>
      </c>
      <c r="F51" s="191" t="s">
        <v>26</v>
      </c>
      <c r="G51" s="192" t="s">
        <v>27</v>
      </c>
    </row>
    <row r="52" spans="2:9" x14ac:dyDescent="0.3">
      <c r="B52" s="120" t="s">
        <v>37</v>
      </c>
      <c r="C52" s="193">
        <v>0.255</v>
      </c>
      <c r="D52" s="194">
        <v>0.255</v>
      </c>
      <c r="E52" s="194">
        <v>0.255</v>
      </c>
      <c r="F52" s="194">
        <v>0.255</v>
      </c>
      <c r="G52" s="195">
        <v>0.255</v>
      </c>
    </row>
    <row r="53" spans="2:9" x14ac:dyDescent="0.3">
      <c r="B53" s="3" t="s">
        <v>38</v>
      </c>
      <c r="C53" s="196">
        <v>0.22500000000000001</v>
      </c>
      <c r="D53" s="197">
        <v>0.22500000000000001</v>
      </c>
      <c r="E53" s="197">
        <v>0.22500000000000001</v>
      </c>
      <c r="F53" s="197">
        <v>0.22500000000000001</v>
      </c>
      <c r="G53" s="198">
        <v>0.22500000000000001</v>
      </c>
    </row>
    <row r="54" spans="2:9" x14ac:dyDescent="0.3">
      <c r="B54" s="119" t="s">
        <v>39</v>
      </c>
      <c r="C54" s="199">
        <v>0.19500000000000001</v>
      </c>
      <c r="D54" s="200">
        <v>0.19500000000000001</v>
      </c>
      <c r="E54" s="200">
        <v>0.19500000000000001</v>
      </c>
      <c r="F54" s="200">
        <v>0.19500000000000001</v>
      </c>
      <c r="G54" s="201">
        <v>0.19500000000000001</v>
      </c>
    </row>
    <row r="56" spans="2:9" x14ac:dyDescent="0.3">
      <c r="B56" s="190" t="s">
        <v>41</v>
      </c>
      <c r="C56" s="191">
        <v>44562</v>
      </c>
      <c r="D56" s="191">
        <f>EOMONTH(C56,12)</f>
        <v>44957</v>
      </c>
      <c r="E56" s="191" t="s">
        <v>25</v>
      </c>
      <c r="F56" s="191" t="s">
        <v>26</v>
      </c>
      <c r="G56" s="192" t="s">
        <v>27</v>
      </c>
    </row>
    <row r="57" spans="2:9" x14ac:dyDescent="0.3">
      <c r="B57" s="120" t="s">
        <v>37</v>
      </c>
      <c r="C57" s="193">
        <v>2.1999999999999999E-2</v>
      </c>
      <c r="D57" s="194">
        <v>2.1999999999999999E-2</v>
      </c>
      <c r="E57" s="194">
        <v>2.1999999999999999E-2</v>
      </c>
      <c r="F57" s="194">
        <v>2.1999999999999999E-2</v>
      </c>
      <c r="G57" s="195">
        <v>2.1999999999999999E-2</v>
      </c>
    </row>
    <row r="58" spans="2:9" x14ac:dyDescent="0.3">
      <c r="B58" s="3" t="s">
        <v>38</v>
      </c>
      <c r="C58" s="196">
        <v>1.2E-2</v>
      </c>
      <c r="D58" s="197">
        <v>1.2E-2</v>
      </c>
      <c r="E58" s="197">
        <v>1.2E-2</v>
      </c>
      <c r="F58" s="197">
        <v>1.2E-2</v>
      </c>
      <c r="G58" s="198">
        <v>1.2E-2</v>
      </c>
      <c r="I58" s="1"/>
    </row>
    <row r="59" spans="2:9" x14ac:dyDescent="0.3">
      <c r="B59" s="119" t="s">
        <v>39</v>
      </c>
      <c r="C59" s="199">
        <v>2E-3</v>
      </c>
      <c r="D59" s="200">
        <v>2E-3</v>
      </c>
      <c r="E59" s="200">
        <v>2E-3</v>
      </c>
      <c r="F59" s="200">
        <v>2E-3</v>
      </c>
      <c r="G59" s="201">
        <v>2E-3</v>
      </c>
    </row>
    <row r="61" spans="2:9" x14ac:dyDescent="0.3">
      <c r="B61" s="190" t="s">
        <v>35</v>
      </c>
      <c r="C61" s="191">
        <v>44562</v>
      </c>
      <c r="D61" s="191">
        <f>EOMONTH(C61,12)</f>
        <v>44957</v>
      </c>
      <c r="E61" s="191" t="s">
        <v>25</v>
      </c>
      <c r="F61" s="191" t="s">
        <v>26</v>
      </c>
      <c r="G61" s="192" t="s">
        <v>27</v>
      </c>
    </row>
    <row r="62" spans="2:9" x14ac:dyDescent="0.3">
      <c r="B62" s="120" t="s">
        <v>37</v>
      </c>
      <c r="C62" s="193">
        <v>3.5000000000000003E-2</v>
      </c>
      <c r="D62" s="194">
        <v>3.5000000000000003E-2</v>
      </c>
      <c r="E62" s="194">
        <v>3.5000000000000003E-2</v>
      </c>
      <c r="F62" s="194">
        <v>3.5000000000000003E-2</v>
      </c>
      <c r="G62" s="195">
        <v>3.5000000000000003E-2</v>
      </c>
    </row>
    <row r="63" spans="2:9" x14ac:dyDescent="0.3">
      <c r="B63" s="3" t="s">
        <v>38</v>
      </c>
      <c r="C63" s="196">
        <v>0.02</v>
      </c>
      <c r="D63" s="197">
        <v>0.02</v>
      </c>
      <c r="E63" s="197">
        <v>0.02</v>
      </c>
      <c r="F63" s="197">
        <v>0.02</v>
      </c>
      <c r="G63" s="198">
        <v>0.02</v>
      </c>
    </row>
    <row r="64" spans="2:9" x14ac:dyDescent="0.3">
      <c r="B64" s="119" t="s">
        <v>39</v>
      </c>
      <c r="C64" s="199">
        <v>5.0000000000000001E-3</v>
      </c>
      <c r="D64" s="200">
        <v>5.0000000000000001E-3</v>
      </c>
      <c r="E64" s="200">
        <v>5.0000000000000001E-3</v>
      </c>
      <c r="F64" s="200">
        <v>5.0000000000000001E-3</v>
      </c>
      <c r="G64" s="201">
        <v>5.0000000000000001E-3</v>
      </c>
    </row>
    <row r="66" spans="2:7" x14ac:dyDescent="0.3">
      <c r="B66" s="190" t="s">
        <v>36</v>
      </c>
      <c r="C66" s="191">
        <v>44562</v>
      </c>
      <c r="D66" s="191">
        <f>EOMONTH(C66,12)</f>
        <v>44957</v>
      </c>
      <c r="E66" s="191" t="s">
        <v>25</v>
      </c>
      <c r="F66" s="191" t="s">
        <v>26</v>
      </c>
      <c r="G66" s="192" t="s">
        <v>27</v>
      </c>
    </row>
    <row r="67" spans="2:7" x14ac:dyDescent="0.3">
      <c r="B67" s="120" t="s">
        <v>37</v>
      </c>
      <c r="C67" s="193">
        <v>0.94099999999999995</v>
      </c>
      <c r="D67" s="194">
        <v>0.94099999999999995</v>
      </c>
      <c r="E67" s="194">
        <v>0.94099999999999995</v>
      </c>
      <c r="F67" s="194">
        <v>0.94099999999999995</v>
      </c>
      <c r="G67" s="195">
        <v>0.94099999999999995</v>
      </c>
    </row>
    <row r="68" spans="2:7" x14ac:dyDescent="0.3">
      <c r="B68" s="3" t="s">
        <v>38</v>
      </c>
      <c r="C68" s="196">
        <v>0.84099999999999997</v>
      </c>
      <c r="D68" s="197">
        <v>0.84099999999999997</v>
      </c>
      <c r="E68" s="197">
        <v>0.84099999999999997</v>
      </c>
      <c r="F68" s="197">
        <v>0.84099999999999997</v>
      </c>
      <c r="G68" s="198">
        <v>0.84099999999999997</v>
      </c>
    </row>
    <row r="69" spans="2:7" x14ac:dyDescent="0.3">
      <c r="B69" s="119" t="s">
        <v>39</v>
      </c>
      <c r="C69" s="199">
        <v>0.74099999999999999</v>
      </c>
      <c r="D69" s="200">
        <v>0.74099999999999999</v>
      </c>
      <c r="E69" s="200">
        <v>0.74099999999999999</v>
      </c>
      <c r="F69" s="200">
        <v>0.74099999999999999</v>
      </c>
      <c r="G69" s="201">
        <v>0.74099999999999999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1111-23DE-4930-99D9-85B7F1DFF309}">
  <sheetPr>
    <pageSetUpPr autoPageBreaks="0"/>
  </sheetPr>
  <dimension ref="B2:N44"/>
  <sheetViews>
    <sheetView showGridLines="0" zoomScale="70" zoomScaleNormal="70" workbookViewId="0">
      <selection activeCell="I28" sqref="I28"/>
    </sheetView>
  </sheetViews>
  <sheetFormatPr defaultColWidth="8.85546875" defaultRowHeight="16.5" x14ac:dyDescent="0.3"/>
  <cols>
    <col min="1" max="1" width="8.85546875" style="1"/>
    <col min="2" max="2" width="43.42578125" style="1" bestFit="1" customWidth="1"/>
    <col min="3" max="3" width="9.42578125" style="1" customWidth="1"/>
    <col min="4" max="8" width="12.140625" style="1" bestFit="1" customWidth="1"/>
    <col min="9" max="10" width="13.85546875" style="1" bestFit="1" customWidth="1"/>
    <col min="11" max="11" width="13.42578125" style="1" bestFit="1" customWidth="1"/>
    <col min="12" max="13" width="15.140625" style="1" bestFit="1" customWidth="1"/>
    <col min="14" max="16384" width="8.85546875" style="1"/>
  </cols>
  <sheetData>
    <row r="2" spans="2:14" x14ac:dyDescent="0.3">
      <c r="B2" s="221" t="s">
        <v>6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</row>
    <row r="3" spans="2:14" ht="18.75" x14ac:dyDescent="0.45">
      <c r="B3" s="3"/>
      <c r="C3" s="4"/>
      <c r="D3" s="351" t="s">
        <v>44</v>
      </c>
      <c r="E3" s="351"/>
      <c r="F3" s="351"/>
      <c r="G3" s="351"/>
      <c r="H3" s="351"/>
      <c r="I3" s="351" t="s">
        <v>152</v>
      </c>
      <c r="J3" s="351"/>
      <c r="K3" s="351"/>
      <c r="L3" s="351"/>
      <c r="M3" s="352"/>
    </row>
    <row r="4" spans="2:14" x14ac:dyDescent="0.3">
      <c r="B4" s="5" t="s">
        <v>154</v>
      </c>
      <c r="C4" s="6"/>
      <c r="D4" s="7">
        <v>42769</v>
      </c>
      <c r="E4" s="7">
        <v>43133</v>
      </c>
      <c r="F4" s="7">
        <v>42767</v>
      </c>
      <c r="G4" s="8">
        <v>43861</v>
      </c>
      <c r="H4" s="7">
        <v>44225</v>
      </c>
      <c r="I4" s="9">
        <f>EOMONTH(H4,12)</f>
        <v>44592</v>
      </c>
      <c r="J4" s="9">
        <f t="shared" ref="J4:L4" si="0">EOMONTH(I4,12)</f>
        <v>44957</v>
      </c>
      <c r="K4" s="9">
        <f t="shared" si="0"/>
        <v>45322</v>
      </c>
      <c r="L4" s="9">
        <f t="shared" si="0"/>
        <v>45688</v>
      </c>
      <c r="M4" s="10">
        <f>EOMONTH(L4,12)</f>
        <v>46053</v>
      </c>
    </row>
    <row r="5" spans="2:14" x14ac:dyDescent="0.3">
      <c r="B5" s="11" t="s">
        <v>156</v>
      </c>
      <c r="C5" s="12" t="s">
        <v>265</v>
      </c>
      <c r="D5" s="13">
        <v>43100</v>
      </c>
      <c r="E5" s="13">
        <f>EOMONTH(D5,12)</f>
        <v>43465</v>
      </c>
      <c r="F5" s="13">
        <f t="shared" ref="F5" si="1">EOMONTH(E5,12)</f>
        <v>43830</v>
      </c>
      <c r="G5" s="13">
        <f>EOMONTH(F5,12)</f>
        <v>44196</v>
      </c>
      <c r="H5" s="13">
        <f>EOMONTH(G5,12)</f>
        <v>44561</v>
      </c>
      <c r="I5" s="14">
        <f>EOMONTH(H5,12)</f>
        <v>44926</v>
      </c>
      <c r="J5" s="14">
        <f t="shared" ref="J5:M5" si="2">EOMONTH(I5,12)</f>
        <v>45291</v>
      </c>
      <c r="K5" s="14">
        <f t="shared" si="2"/>
        <v>45657</v>
      </c>
      <c r="L5" s="14">
        <f t="shared" si="2"/>
        <v>46022</v>
      </c>
      <c r="M5" s="15">
        <f t="shared" si="2"/>
        <v>46387</v>
      </c>
    </row>
    <row r="6" spans="2:14" x14ac:dyDescent="0.3">
      <c r="B6" s="16"/>
      <c r="C6" s="17"/>
      <c r="D6" s="18"/>
      <c r="E6" s="18"/>
      <c r="F6" s="18"/>
      <c r="G6" s="18"/>
      <c r="H6" s="18"/>
      <c r="I6" s="19"/>
      <c r="J6" s="19"/>
      <c r="K6" s="19"/>
      <c r="L6" s="19"/>
      <c r="M6" s="20"/>
    </row>
    <row r="7" spans="2:14" x14ac:dyDescent="0.3">
      <c r="B7" s="21" t="s">
        <v>266</v>
      </c>
      <c r="C7" s="22"/>
      <c r="D7" s="23"/>
      <c r="E7" s="23"/>
      <c r="F7" s="23"/>
      <c r="G7" s="23"/>
      <c r="H7" s="23"/>
      <c r="M7" s="24"/>
    </row>
    <row r="8" spans="2:14" x14ac:dyDescent="0.3">
      <c r="B8" s="25" t="s">
        <v>267</v>
      </c>
      <c r="C8" s="22" t="s">
        <v>229</v>
      </c>
      <c r="D8" s="26">
        <v>12973</v>
      </c>
      <c r="E8" s="26">
        <v>15533</v>
      </c>
      <c r="F8" s="26">
        <v>19953</v>
      </c>
      <c r="G8" s="26">
        <v>17127</v>
      </c>
      <c r="H8" s="26">
        <v>16497</v>
      </c>
      <c r="I8" s="27">
        <f>H8*(1+I9)</f>
        <v>17074.395</v>
      </c>
      <c r="J8" s="27">
        <f t="shared" ref="J8:M8" si="3">I8*(1+J9)</f>
        <v>17671.998824999999</v>
      </c>
      <c r="K8" s="27">
        <f t="shared" si="3"/>
        <v>18290.518783874999</v>
      </c>
      <c r="L8" s="27">
        <f t="shared" si="3"/>
        <v>18930.686941310621</v>
      </c>
      <c r="M8" s="28">
        <f t="shared" si="3"/>
        <v>19593.260984256493</v>
      </c>
    </row>
    <row r="9" spans="2:14" x14ac:dyDescent="0.3">
      <c r="B9" s="29" t="s">
        <v>268</v>
      </c>
      <c r="C9" s="30" t="s">
        <v>236</v>
      </c>
      <c r="D9" s="31"/>
      <c r="E9" s="32">
        <f>(E8/D8)-1</f>
        <v>0.19733292222307863</v>
      </c>
      <c r="F9" s="32">
        <f t="shared" ref="F9:H9" si="4">(F8/E8)-1</f>
        <v>0.28455546256357422</v>
      </c>
      <c r="G9" s="32">
        <f t="shared" si="4"/>
        <v>-0.14163283716734321</v>
      </c>
      <c r="H9" s="32">
        <f t="shared" si="4"/>
        <v>-3.6784025223331573E-2</v>
      </c>
      <c r="I9" s="33">
        <f>CHOOSE(Assumptions!$C$12,'Revenue Model'!I34,'Revenue Model'!I28,'Revenue Model'!I40)</f>
        <v>3.5000000000000003E-2</v>
      </c>
      <c r="J9" s="33">
        <f>CHOOSE(Assumptions!$C$12,'Revenue Model'!J34,'Revenue Model'!J28,'Revenue Model'!J40)</f>
        <v>3.5000000000000003E-2</v>
      </c>
      <c r="K9" s="33">
        <f>CHOOSE(Assumptions!$C$12,'Revenue Model'!K34,'Revenue Model'!K28,'Revenue Model'!K40)</f>
        <v>3.5000000000000003E-2</v>
      </c>
      <c r="L9" s="33">
        <f>CHOOSE(Assumptions!$C$12,'Revenue Model'!L34,'Revenue Model'!L28,'Revenue Model'!L40)</f>
        <v>3.5000000000000003E-2</v>
      </c>
      <c r="M9" s="34">
        <f>CHOOSE(Assumptions!$C$12,'Revenue Model'!M34,'Revenue Model'!M28,'Revenue Model'!M40)</f>
        <v>3.5000000000000003E-2</v>
      </c>
      <c r="N9" s="1" t="s">
        <v>269</v>
      </c>
    </row>
    <row r="10" spans="2:14" x14ac:dyDescent="0.3">
      <c r="B10" s="25" t="s">
        <v>270</v>
      </c>
      <c r="C10" s="22" t="s">
        <v>229</v>
      </c>
      <c r="D10" s="26">
        <v>9097</v>
      </c>
      <c r="E10" s="26">
        <v>15384</v>
      </c>
      <c r="F10" s="26">
        <v>16767</v>
      </c>
      <c r="G10" s="26">
        <v>16842</v>
      </c>
      <c r="H10" s="35">
        <v>16091</v>
      </c>
      <c r="I10" s="27">
        <f>H10*(1+I11)</f>
        <v>16364.546999999999</v>
      </c>
      <c r="J10" s="27">
        <f t="shared" ref="J10:M10" si="5">I10*(1+J11)</f>
        <v>16642.744298999998</v>
      </c>
      <c r="K10" s="27">
        <f t="shared" si="5"/>
        <v>16925.670952082997</v>
      </c>
      <c r="L10" s="27">
        <f t="shared" si="5"/>
        <v>17213.407358268407</v>
      </c>
      <c r="M10" s="28">
        <f t="shared" si="5"/>
        <v>17506.035283358968</v>
      </c>
      <c r="N10" s="1" t="s">
        <v>271</v>
      </c>
    </row>
    <row r="11" spans="2:14" x14ac:dyDescent="0.3">
      <c r="B11" s="29" t="s">
        <v>268</v>
      </c>
      <c r="C11" s="30" t="s">
        <v>236</v>
      </c>
      <c r="D11" s="31"/>
      <c r="E11" s="32">
        <f>(E10/D10)-1</f>
        <v>0.69110695833791369</v>
      </c>
      <c r="F11" s="32">
        <f t="shared" ref="F11:H11" si="6">(F10/E10)-1</f>
        <v>8.9898595943837645E-2</v>
      </c>
      <c r="G11" s="32">
        <f t="shared" si="6"/>
        <v>4.4730721059222933E-3</v>
      </c>
      <c r="H11" s="32">
        <f t="shared" si="6"/>
        <v>-4.459090369314811E-2</v>
      </c>
      <c r="I11" s="33">
        <f>CHOOSE(Assumptions!$C$12,'Revenue Model'!I35,'Revenue Model'!I29,'Revenue Model'!I41)</f>
        <v>1.7000000000000001E-2</v>
      </c>
      <c r="J11" s="33">
        <f>CHOOSE(Assumptions!$C$12,'Revenue Model'!J35,'Revenue Model'!J29,'Revenue Model'!J41)</f>
        <v>1.7000000000000001E-2</v>
      </c>
      <c r="K11" s="33">
        <f>CHOOSE(Assumptions!$C$12,'Revenue Model'!K35,'Revenue Model'!K29,'Revenue Model'!K41)</f>
        <v>1.7000000000000001E-2</v>
      </c>
      <c r="L11" s="33">
        <f>CHOOSE(Assumptions!$C$12,'Revenue Model'!L35,'Revenue Model'!L29,'Revenue Model'!L41)</f>
        <v>1.7000000000000001E-2</v>
      </c>
      <c r="M11" s="34">
        <f>CHOOSE(Assumptions!$C$12,'Revenue Model'!M35,'Revenue Model'!M29,'Revenue Model'!M41)</f>
        <v>1.7000000000000001E-2</v>
      </c>
    </row>
    <row r="12" spans="2:14" x14ac:dyDescent="0.3">
      <c r="B12" s="36" t="s">
        <v>272</v>
      </c>
      <c r="C12" s="37" t="s">
        <v>229</v>
      </c>
      <c r="D12" s="38">
        <v>22070</v>
      </c>
      <c r="E12" s="38">
        <v>30917</v>
      </c>
      <c r="F12" s="38">
        <v>36720</v>
      </c>
      <c r="G12" s="38">
        <v>33969</v>
      </c>
      <c r="H12" s="38">
        <v>32588</v>
      </c>
      <c r="I12" s="39">
        <f>I8+I10</f>
        <v>33438.941999999995</v>
      </c>
      <c r="J12" s="39">
        <f t="shared" ref="J12:M12" si="7">J8+J10</f>
        <v>34314.743124000001</v>
      </c>
      <c r="K12" s="39">
        <f t="shared" si="7"/>
        <v>35216.189735957996</v>
      </c>
      <c r="L12" s="39">
        <f t="shared" si="7"/>
        <v>36144.094299579025</v>
      </c>
      <c r="M12" s="40">
        <f t="shared" si="7"/>
        <v>37099.296267615457</v>
      </c>
    </row>
    <row r="13" spans="2:14" x14ac:dyDescent="0.3">
      <c r="B13" s="21" t="s">
        <v>273</v>
      </c>
      <c r="C13" s="22"/>
      <c r="D13" s="23"/>
      <c r="E13" s="23"/>
      <c r="F13" s="23"/>
      <c r="G13" s="23"/>
      <c r="H13" s="23"/>
      <c r="M13" s="24"/>
    </row>
    <row r="14" spans="2:14" x14ac:dyDescent="0.3">
      <c r="B14" s="25" t="s">
        <v>274</v>
      </c>
      <c r="C14" s="22" t="s">
        <v>229</v>
      </c>
      <c r="D14" s="26">
        <v>25773</v>
      </c>
      <c r="E14" s="26">
        <v>27507</v>
      </c>
      <c r="F14" s="26">
        <v>30893</v>
      </c>
      <c r="G14" s="26">
        <v>34277</v>
      </c>
      <c r="H14" s="26">
        <v>35396</v>
      </c>
      <c r="I14" s="27">
        <f>H14*(1+I15)</f>
        <v>38333.868000000002</v>
      </c>
      <c r="J14" s="27">
        <f t="shared" ref="J14:M14" si="8">I14*(1+J15)</f>
        <v>41515.579043999998</v>
      </c>
      <c r="K14" s="27">
        <f t="shared" si="8"/>
        <v>44961.372104651993</v>
      </c>
      <c r="L14" s="27">
        <f t="shared" si="8"/>
        <v>48693.165989338107</v>
      </c>
      <c r="M14" s="28">
        <f t="shared" si="8"/>
        <v>52734.69876645317</v>
      </c>
    </row>
    <row r="15" spans="2:14" x14ac:dyDescent="0.3">
      <c r="B15" s="29" t="s">
        <v>268</v>
      </c>
      <c r="C15" s="30" t="s">
        <v>236</v>
      </c>
      <c r="D15" s="31"/>
      <c r="E15" s="32">
        <f>(E14/D14)-1</f>
        <v>6.7279711325806124E-2</v>
      </c>
      <c r="F15" s="32">
        <f t="shared" ref="F15:H15" si="9">(F14/E14)-1</f>
        <v>0.12309593921547246</v>
      </c>
      <c r="G15" s="32">
        <f t="shared" si="9"/>
        <v>0.10953937785258794</v>
      </c>
      <c r="H15" s="32">
        <f t="shared" si="9"/>
        <v>3.2645797473524585E-2</v>
      </c>
      <c r="I15" s="33">
        <f>CHOOSE(Assumptions!$C$12,I36,I30,I42)</f>
        <v>8.3000000000000004E-2</v>
      </c>
      <c r="J15" s="33">
        <f>CHOOSE(Assumptions!$C$12,J36,J30,J42)</f>
        <v>8.3000000000000004E-2</v>
      </c>
      <c r="K15" s="33">
        <f>CHOOSE(Assumptions!$C$12,K36,K30,K42)</f>
        <v>8.3000000000000004E-2</v>
      </c>
      <c r="L15" s="33">
        <f>CHOOSE(Assumptions!$C$12,L36,L30,L42)</f>
        <v>8.3000000000000004E-2</v>
      </c>
      <c r="M15" s="34">
        <f>CHOOSE(Assumptions!$C$12,M36,M30,M42)</f>
        <v>8.3000000000000004E-2</v>
      </c>
    </row>
    <row r="16" spans="2:14" x14ac:dyDescent="0.3">
      <c r="B16" s="25" t="s">
        <v>275</v>
      </c>
      <c r="C16" s="22" t="s">
        <v>229</v>
      </c>
      <c r="D16" s="26">
        <v>10736</v>
      </c>
      <c r="E16" s="26">
        <v>11711</v>
      </c>
      <c r="F16" s="26">
        <v>12303</v>
      </c>
      <c r="G16" s="26">
        <v>11561</v>
      </c>
      <c r="H16" s="26">
        <v>12959</v>
      </c>
      <c r="I16" s="27">
        <f>H16*(1+I17)</f>
        <v>13606.95</v>
      </c>
      <c r="J16" s="27">
        <f t="shared" ref="J16:M16" si="10">I16*(1+J17)</f>
        <v>14287.297500000001</v>
      </c>
      <c r="K16" s="27">
        <f t="shared" si="10"/>
        <v>15001.662375000002</v>
      </c>
      <c r="L16" s="27">
        <f t="shared" si="10"/>
        <v>15751.745493750002</v>
      </c>
      <c r="M16" s="28">
        <f t="shared" si="10"/>
        <v>16539.332768437504</v>
      </c>
    </row>
    <row r="17" spans="2:14" x14ac:dyDescent="0.3">
      <c r="B17" s="29" t="s">
        <v>268</v>
      </c>
      <c r="C17" s="30" t="s">
        <v>236</v>
      </c>
      <c r="D17" s="31"/>
      <c r="E17" s="32">
        <f>(E16/D16)-1</f>
        <v>9.0815946348733245E-2</v>
      </c>
      <c r="F17" s="32">
        <f t="shared" ref="F17:H17" si="11">(F16/E16)-1</f>
        <v>5.0550764238749935E-2</v>
      </c>
      <c r="G17" s="32">
        <f t="shared" si="11"/>
        <v>-6.0310493375599461E-2</v>
      </c>
      <c r="H17" s="32">
        <f t="shared" si="11"/>
        <v>0.12092379551941868</v>
      </c>
      <c r="I17" s="33">
        <f>CHOOSE(Assumptions!$C$12,I37,I31,I43)</f>
        <v>0.05</v>
      </c>
      <c r="J17" s="33">
        <f>CHOOSE(Assumptions!$C$12,J37,J31,J43)</f>
        <v>0.05</v>
      </c>
      <c r="K17" s="33">
        <f>CHOOSE(Assumptions!$C$12,K37,K31,K43)</f>
        <v>0.05</v>
      </c>
      <c r="L17" s="33">
        <f>CHOOSE(Assumptions!$C$12,L37,L31,L43)</f>
        <v>0.05</v>
      </c>
      <c r="M17" s="34">
        <f>CHOOSE(Assumptions!$C$12,M37,M31,M43)</f>
        <v>0.05</v>
      </c>
    </row>
    <row r="18" spans="2:14" x14ac:dyDescent="0.3">
      <c r="B18" s="36" t="s">
        <v>276</v>
      </c>
      <c r="C18" s="37" t="s">
        <v>229</v>
      </c>
      <c r="D18" s="38">
        <v>36509</v>
      </c>
      <c r="E18" s="38">
        <v>39218</v>
      </c>
      <c r="F18" s="38">
        <v>43196</v>
      </c>
      <c r="G18" s="38">
        <v>45838</v>
      </c>
      <c r="H18" s="38">
        <v>48355</v>
      </c>
      <c r="I18" s="39">
        <f>I14+I16</f>
        <v>51940.817999999999</v>
      </c>
      <c r="J18" s="39">
        <f t="shared" ref="J18:M18" si="12">J14+J16</f>
        <v>55802.876543999999</v>
      </c>
      <c r="K18" s="39">
        <f t="shared" si="12"/>
        <v>59963.034479651993</v>
      </c>
      <c r="L18" s="39">
        <f t="shared" si="12"/>
        <v>64444.911483088108</v>
      </c>
      <c r="M18" s="40">
        <f t="shared" si="12"/>
        <v>69274.031534890673</v>
      </c>
    </row>
    <row r="19" spans="2:14" x14ac:dyDescent="0.3">
      <c r="B19" s="21" t="s">
        <v>277</v>
      </c>
      <c r="C19" s="22" t="s">
        <v>229</v>
      </c>
      <c r="D19" s="41">
        <v>3543</v>
      </c>
      <c r="E19" s="41">
        <v>8485</v>
      </c>
      <c r="F19" s="41">
        <v>9741</v>
      </c>
      <c r="G19" s="41">
        <v>10905</v>
      </c>
      <c r="H19" s="41">
        <v>11873</v>
      </c>
      <c r="I19" s="27"/>
      <c r="J19" s="27"/>
      <c r="K19" s="27"/>
      <c r="L19" s="27"/>
      <c r="M19" s="28"/>
      <c r="N19" s="42" t="s">
        <v>278</v>
      </c>
    </row>
    <row r="20" spans="2:14" x14ac:dyDescent="0.3">
      <c r="B20" s="29" t="s">
        <v>268</v>
      </c>
      <c r="C20" s="30" t="s">
        <v>236</v>
      </c>
      <c r="D20" s="23"/>
      <c r="E20" s="32">
        <f>(E19/D19)-1</f>
        <v>1.3948631103584535</v>
      </c>
      <c r="F20" s="32">
        <f t="shared" ref="F20:H20" si="13">(F19/E19)-1</f>
        <v>0.14802592810842663</v>
      </c>
      <c r="G20" s="32">
        <f t="shared" si="13"/>
        <v>0.11949491838620263</v>
      </c>
      <c r="H20" s="32">
        <f t="shared" si="13"/>
        <v>8.8766620816139286E-2</v>
      </c>
      <c r="M20" s="24"/>
    </row>
    <row r="21" spans="2:14" x14ac:dyDescent="0.3">
      <c r="B21" s="21" t="s">
        <v>279</v>
      </c>
      <c r="C21" s="22" t="s">
        <v>229</v>
      </c>
      <c r="D21" s="41">
        <v>1153</v>
      </c>
      <c r="E21" s="41">
        <v>1704</v>
      </c>
      <c r="F21" s="41">
        <v>1676</v>
      </c>
      <c r="G21" s="41">
        <v>1788</v>
      </c>
      <c r="H21" s="41">
        <v>1567</v>
      </c>
      <c r="I21" s="27">
        <f>H21*(1+I22)</f>
        <v>1661.02</v>
      </c>
      <c r="J21" s="27">
        <f t="shared" ref="J21:M21" si="14">I21*(1+J22)</f>
        <v>1760.6812</v>
      </c>
      <c r="K21" s="27">
        <f t="shared" si="14"/>
        <v>1866.3220720000002</v>
      </c>
      <c r="L21" s="27">
        <f t="shared" si="14"/>
        <v>1978.3013963200003</v>
      </c>
      <c r="M21" s="28">
        <f t="shared" si="14"/>
        <v>2096.9994800992004</v>
      </c>
    </row>
    <row r="22" spans="2:14" x14ac:dyDescent="0.3">
      <c r="B22" s="29" t="s">
        <v>268</v>
      </c>
      <c r="C22" s="30" t="s">
        <v>236</v>
      </c>
      <c r="D22" s="23"/>
      <c r="E22" s="32">
        <f>(E21/D21)-1</f>
        <v>0.47788378143972254</v>
      </c>
      <c r="F22" s="32">
        <f t="shared" ref="F22:H22" si="15">(F21/E21)-1</f>
        <v>-1.6431924882629123E-2</v>
      </c>
      <c r="G22" s="32">
        <f t="shared" si="15"/>
        <v>6.6825775656324637E-2</v>
      </c>
      <c r="H22" s="32">
        <f t="shared" si="15"/>
        <v>-0.12360178970917224</v>
      </c>
      <c r="I22" s="33">
        <f>CHOOSE(Assumptions!$C$12,I38,I32,I44,)</f>
        <v>0.06</v>
      </c>
      <c r="J22" s="33">
        <f>CHOOSE(Assumptions!$C$12,J38,J32,J44,)</f>
        <v>0.06</v>
      </c>
      <c r="K22" s="33">
        <f>CHOOSE(Assumptions!$C$12,K38,K32,K44,)</f>
        <v>0.06</v>
      </c>
      <c r="L22" s="33">
        <f>CHOOSE(Assumptions!$C$12,L38,L32,L44,)</f>
        <v>0.06</v>
      </c>
      <c r="M22" s="34">
        <f>CHOOSE(Assumptions!$C$12,M38,M32,M44,)</f>
        <v>0.06</v>
      </c>
    </row>
    <row r="23" spans="2:14" x14ac:dyDescent="0.3">
      <c r="B23" s="21" t="s">
        <v>280</v>
      </c>
      <c r="C23" s="22" t="s">
        <v>229</v>
      </c>
      <c r="D23" s="41">
        <v>-1152</v>
      </c>
      <c r="E23" s="41">
        <v>-1269</v>
      </c>
      <c r="F23" s="41">
        <v>-703</v>
      </c>
      <c r="G23" s="41">
        <v>-347</v>
      </c>
      <c r="H23" s="41">
        <v>-165</v>
      </c>
      <c r="I23" s="27"/>
      <c r="J23" s="27"/>
      <c r="K23" s="27"/>
      <c r="L23" s="27"/>
      <c r="M23" s="28"/>
    </row>
    <row r="24" spans="2:14" x14ac:dyDescent="0.3">
      <c r="B24" s="21" t="s">
        <v>281</v>
      </c>
      <c r="C24" s="22" t="s">
        <v>229</v>
      </c>
      <c r="D24" s="41">
        <v>41</v>
      </c>
      <c r="E24" s="41">
        <v>-15</v>
      </c>
      <c r="F24" s="41">
        <v>-9</v>
      </c>
      <c r="G24" s="41">
        <v>1</v>
      </c>
      <c r="H24" s="41">
        <v>6</v>
      </c>
      <c r="I24" s="27"/>
      <c r="J24" s="27"/>
      <c r="K24" s="27"/>
      <c r="L24" s="27"/>
      <c r="M24" s="43"/>
    </row>
    <row r="25" spans="2:14" x14ac:dyDescent="0.3">
      <c r="B25" s="44" t="s">
        <v>282</v>
      </c>
      <c r="C25" s="45" t="s">
        <v>229</v>
      </c>
      <c r="D25" s="46">
        <v>62164</v>
      </c>
      <c r="E25" s="46">
        <v>79040</v>
      </c>
      <c r="F25" s="46">
        <v>90621</v>
      </c>
      <c r="G25" s="46">
        <v>92154</v>
      </c>
      <c r="H25" s="46">
        <v>94224</v>
      </c>
      <c r="I25" s="47">
        <f>I12+I18+I21</f>
        <v>87040.78</v>
      </c>
      <c r="J25" s="47">
        <f t="shared" ref="J25:M25" si="16">J12+J18+J21</f>
        <v>91878.300868000006</v>
      </c>
      <c r="K25" s="47">
        <f t="shared" si="16"/>
        <v>97045.546287609977</v>
      </c>
      <c r="L25" s="47">
        <f t="shared" si="16"/>
        <v>102567.30717898715</v>
      </c>
      <c r="M25" s="48">
        <f t="shared" si="16"/>
        <v>108470.32728260533</v>
      </c>
    </row>
    <row r="26" spans="2:14" x14ac:dyDescent="0.3">
      <c r="B26" s="21"/>
      <c r="C26" s="42"/>
      <c r="D26" s="42"/>
      <c r="E26" s="42"/>
      <c r="F26" s="42"/>
      <c r="G26" s="42"/>
      <c r="H26" s="42"/>
      <c r="M26" s="24"/>
    </row>
    <row r="27" spans="2:14" x14ac:dyDescent="0.3">
      <c r="B27" s="11" t="s">
        <v>38</v>
      </c>
      <c r="C27" s="49"/>
      <c r="D27" s="50"/>
      <c r="E27" s="50"/>
      <c r="F27" s="50"/>
      <c r="G27" s="50"/>
      <c r="H27" s="50"/>
      <c r="I27" s="51"/>
      <c r="J27" s="4"/>
      <c r="K27" s="4"/>
      <c r="L27" s="4"/>
      <c r="M27" s="52"/>
    </row>
    <row r="28" spans="2:14" x14ac:dyDescent="0.3">
      <c r="B28" s="25" t="s">
        <v>283</v>
      </c>
      <c r="C28" s="22" t="s">
        <v>236</v>
      </c>
      <c r="D28" s="23"/>
      <c r="E28" s="53">
        <f>E9</f>
        <v>0.19733292222307863</v>
      </c>
      <c r="F28" s="53">
        <f t="shared" ref="F28:H28" si="17">F9</f>
        <v>0.28455546256357422</v>
      </c>
      <c r="G28" s="53">
        <f t="shared" si="17"/>
        <v>-0.14163283716734321</v>
      </c>
      <c r="H28" s="53">
        <f t="shared" si="17"/>
        <v>-3.6784025223331573E-2</v>
      </c>
      <c r="I28" s="54">
        <v>3.5000000000000003E-2</v>
      </c>
      <c r="J28" s="54">
        <v>3.5000000000000003E-2</v>
      </c>
      <c r="K28" s="54">
        <v>3.5000000000000003E-2</v>
      </c>
      <c r="L28" s="54">
        <v>3.5000000000000003E-2</v>
      </c>
      <c r="M28" s="55">
        <v>3.5000000000000003E-2</v>
      </c>
    </row>
    <row r="29" spans="2:14" x14ac:dyDescent="0.3">
      <c r="B29" s="25" t="s">
        <v>284</v>
      </c>
      <c r="C29" s="22" t="s">
        <v>236</v>
      </c>
      <c r="D29" s="23"/>
      <c r="E29" s="53">
        <f>E11</f>
        <v>0.69110695833791369</v>
      </c>
      <c r="F29" s="53">
        <f t="shared" ref="F29:H29" si="18">F11</f>
        <v>8.9898595943837645E-2</v>
      </c>
      <c r="G29" s="53">
        <f t="shared" si="18"/>
        <v>4.4730721059222933E-3</v>
      </c>
      <c r="H29" s="53">
        <f t="shared" si="18"/>
        <v>-4.459090369314811E-2</v>
      </c>
      <c r="I29" s="54">
        <v>1.7000000000000001E-2</v>
      </c>
      <c r="J29" s="54">
        <v>1.7000000000000001E-2</v>
      </c>
      <c r="K29" s="54">
        <v>1.7000000000000001E-2</v>
      </c>
      <c r="L29" s="54">
        <v>1.7000000000000001E-2</v>
      </c>
      <c r="M29" s="56">
        <v>1.7000000000000001E-2</v>
      </c>
    </row>
    <row r="30" spans="2:14" x14ac:dyDescent="0.3">
      <c r="B30" s="25" t="s">
        <v>285</v>
      </c>
      <c r="C30" s="22" t="s">
        <v>236</v>
      </c>
      <c r="D30" s="23"/>
      <c r="E30" s="53">
        <f>E15</f>
        <v>6.7279711325806124E-2</v>
      </c>
      <c r="F30" s="53">
        <f t="shared" ref="F30:H30" si="19">F15</f>
        <v>0.12309593921547246</v>
      </c>
      <c r="G30" s="53">
        <f t="shared" si="19"/>
        <v>0.10953937785258794</v>
      </c>
      <c r="H30" s="53">
        <f t="shared" si="19"/>
        <v>3.2645797473524585E-2</v>
      </c>
      <c r="I30" s="54">
        <v>8.3000000000000004E-2</v>
      </c>
      <c r="J30" s="54">
        <v>8.3000000000000004E-2</v>
      </c>
      <c r="K30" s="54">
        <v>8.3000000000000004E-2</v>
      </c>
      <c r="L30" s="54">
        <v>8.3000000000000004E-2</v>
      </c>
      <c r="M30" s="56">
        <v>8.3000000000000004E-2</v>
      </c>
    </row>
    <row r="31" spans="2:14" x14ac:dyDescent="0.3">
      <c r="B31" s="25" t="s">
        <v>286</v>
      </c>
      <c r="C31" s="22" t="s">
        <v>236</v>
      </c>
      <c r="D31" s="23"/>
      <c r="E31" s="53">
        <f>E17</f>
        <v>9.0815946348733245E-2</v>
      </c>
      <c r="F31" s="53">
        <f t="shared" ref="F31:H31" si="20">F17</f>
        <v>5.0550764238749935E-2</v>
      </c>
      <c r="G31" s="53">
        <f t="shared" si="20"/>
        <v>-6.0310493375599461E-2</v>
      </c>
      <c r="H31" s="53">
        <f t="shared" si="20"/>
        <v>0.12092379551941868</v>
      </c>
      <c r="I31" s="54">
        <v>0.05</v>
      </c>
      <c r="J31" s="54">
        <v>0.05</v>
      </c>
      <c r="K31" s="54">
        <v>0.05</v>
      </c>
      <c r="L31" s="54">
        <v>0.05</v>
      </c>
      <c r="M31" s="56">
        <v>0.05</v>
      </c>
    </row>
    <row r="32" spans="2:14" x14ac:dyDescent="0.3">
      <c r="B32" s="25" t="s">
        <v>287</v>
      </c>
      <c r="C32" s="22" t="s">
        <v>236</v>
      </c>
      <c r="D32" s="23"/>
      <c r="E32" s="53">
        <f>E22</f>
        <v>0.47788378143972254</v>
      </c>
      <c r="F32" s="53">
        <f t="shared" ref="F32:H32" si="21">F22</f>
        <v>-1.6431924882629123E-2</v>
      </c>
      <c r="G32" s="53">
        <f t="shared" si="21"/>
        <v>6.6825775656324637E-2</v>
      </c>
      <c r="H32" s="53">
        <f t="shared" si="21"/>
        <v>-0.12360178970917224</v>
      </c>
      <c r="I32" s="54">
        <v>0.06</v>
      </c>
      <c r="J32" s="54">
        <v>0.06</v>
      </c>
      <c r="K32" s="54">
        <v>0.06</v>
      </c>
      <c r="L32" s="54">
        <v>0.06</v>
      </c>
      <c r="M32" s="56">
        <v>0.06</v>
      </c>
    </row>
    <row r="33" spans="2:13" x14ac:dyDescent="0.3">
      <c r="B33" s="11" t="s">
        <v>37</v>
      </c>
      <c r="C33" s="49"/>
      <c r="D33" s="57"/>
      <c r="E33" s="57"/>
      <c r="F33" s="57"/>
      <c r="G33" s="57"/>
      <c r="H33" s="57"/>
      <c r="I33" s="4"/>
      <c r="J33" s="4"/>
      <c r="K33" s="4"/>
      <c r="L33" s="4"/>
      <c r="M33" s="52"/>
    </row>
    <row r="34" spans="2:13" x14ac:dyDescent="0.3">
      <c r="B34" s="25" t="s">
        <v>283</v>
      </c>
      <c r="C34" s="22" t="s">
        <v>236</v>
      </c>
      <c r="D34" s="42"/>
      <c r="E34" s="53">
        <f>E9</f>
        <v>0.19733292222307863</v>
      </c>
      <c r="F34" s="53">
        <f t="shared" ref="F34:H34" si="22">F9</f>
        <v>0.28455546256357422</v>
      </c>
      <c r="G34" s="53">
        <f t="shared" si="22"/>
        <v>-0.14163283716734321</v>
      </c>
      <c r="H34" s="53">
        <f t="shared" si="22"/>
        <v>-3.6784025223331573E-2</v>
      </c>
      <c r="I34" s="33">
        <v>5.5E-2</v>
      </c>
      <c r="J34" s="33">
        <v>5.5E-2</v>
      </c>
      <c r="K34" s="33">
        <v>5.5E-2</v>
      </c>
      <c r="L34" s="33">
        <v>5.5E-2</v>
      </c>
      <c r="M34" s="58">
        <v>5.5E-2</v>
      </c>
    </row>
    <row r="35" spans="2:13" x14ac:dyDescent="0.3">
      <c r="B35" s="25" t="s">
        <v>284</v>
      </c>
      <c r="C35" s="22" t="s">
        <v>236</v>
      </c>
      <c r="D35" s="42"/>
      <c r="E35" s="53">
        <f>E11</f>
        <v>0.69110695833791369</v>
      </c>
      <c r="F35" s="53">
        <f t="shared" ref="F35:H35" si="23">F11</f>
        <v>8.9898595943837645E-2</v>
      </c>
      <c r="G35" s="53">
        <f t="shared" si="23"/>
        <v>4.4730721059222933E-3</v>
      </c>
      <c r="H35" s="53">
        <f t="shared" si="23"/>
        <v>-4.459090369314811E-2</v>
      </c>
      <c r="I35" s="33">
        <v>3.6999999999999998E-2</v>
      </c>
      <c r="J35" s="33">
        <v>3.6999999999999998E-2</v>
      </c>
      <c r="K35" s="33">
        <v>3.6999999999999998E-2</v>
      </c>
      <c r="L35" s="33">
        <v>3.6999999999999998E-2</v>
      </c>
      <c r="M35" s="34">
        <v>3.6999999999999998E-2</v>
      </c>
    </row>
    <row r="36" spans="2:13" x14ac:dyDescent="0.3">
      <c r="B36" s="25" t="s">
        <v>285</v>
      </c>
      <c r="C36" s="22" t="s">
        <v>236</v>
      </c>
      <c r="D36" s="59"/>
      <c r="E36" s="53">
        <f>E15</f>
        <v>6.7279711325806124E-2</v>
      </c>
      <c r="F36" s="53">
        <f t="shared" ref="F36:H36" si="24">F15</f>
        <v>0.12309593921547246</v>
      </c>
      <c r="G36" s="53">
        <f t="shared" si="24"/>
        <v>0.10953937785258794</v>
      </c>
      <c r="H36" s="53">
        <f t="shared" si="24"/>
        <v>3.2645797473524585E-2</v>
      </c>
      <c r="I36" s="33">
        <v>0.10299999999999999</v>
      </c>
      <c r="J36" s="33">
        <v>0.10299999999999999</v>
      </c>
      <c r="K36" s="33">
        <v>0.10299999999999999</v>
      </c>
      <c r="L36" s="33">
        <v>0.10299999999999999</v>
      </c>
      <c r="M36" s="34">
        <v>0.10299999999999999</v>
      </c>
    </row>
    <row r="37" spans="2:13" x14ac:dyDescent="0.3">
      <c r="B37" s="25" t="s">
        <v>286</v>
      </c>
      <c r="C37" s="22" t="s">
        <v>236</v>
      </c>
      <c r="E37" s="53">
        <f>E17</f>
        <v>9.0815946348733245E-2</v>
      </c>
      <c r="F37" s="53">
        <f t="shared" ref="F37:H37" si="25">F17</f>
        <v>5.0550764238749935E-2</v>
      </c>
      <c r="G37" s="53">
        <f t="shared" si="25"/>
        <v>-6.0310493375599461E-2</v>
      </c>
      <c r="H37" s="53">
        <f t="shared" si="25"/>
        <v>0.12092379551941868</v>
      </c>
      <c r="I37" s="33">
        <v>7.0000000000000007E-2</v>
      </c>
      <c r="J37" s="33">
        <v>7.0000000000000007E-2</v>
      </c>
      <c r="K37" s="33">
        <v>7.0000000000000007E-2</v>
      </c>
      <c r="L37" s="33">
        <v>7.0000000000000007E-2</v>
      </c>
      <c r="M37" s="34">
        <v>7.0000000000000007E-2</v>
      </c>
    </row>
    <row r="38" spans="2:13" x14ac:dyDescent="0.3">
      <c r="B38" s="25" t="s">
        <v>287</v>
      </c>
      <c r="C38" s="22" t="s">
        <v>236</v>
      </c>
      <c r="E38" s="53">
        <f>E22</f>
        <v>0.47788378143972254</v>
      </c>
      <c r="F38" s="53">
        <f t="shared" ref="F38:H38" si="26">F22</f>
        <v>-1.6431924882629123E-2</v>
      </c>
      <c r="G38" s="53">
        <f t="shared" si="26"/>
        <v>6.6825775656324637E-2</v>
      </c>
      <c r="H38" s="53">
        <f t="shared" si="26"/>
        <v>-0.12360178970917224</v>
      </c>
      <c r="I38" s="33">
        <v>0.08</v>
      </c>
      <c r="J38" s="33">
        <v>0.08</v>
      </c>
      <c r="K38" s="33">
        <v>0.08</v>
      </c>
      <c r="L38" s="33">
        <v>0.08</v>
      </c>
      <c r="M38" s="34">
        <v>0.08</v>
      </c>
    </row>
    <row r="39" spans="2:13" x14ac:dyDescent="0.3">
      <c r="B39" s="11" t="s">
        <v>39</v>
      </c>
      <c r="C39" s="49"/>
      <c r="D39" s="4"/>
      <c r="E39" s="4"/>
      <c r="F39" s="4"/>
      <c r="G39" s="4"/>
      <c r="H39" s="4"/>
      <c r="I39" s="60"/>
      <c r="J39" s="60"/>
      <c r="K39" s="60"/>
      <c r="L39" s="60"/>
      <c r="M39" s="61"/>
    </row>
    <row r="40" spans="2:13" x14ac:dyDescent="0.3">
      <c r="B40" s="25" t="s">
        <v>283</v>
      </c>
      <c r="C40" s="22" t="s">
        <v>236</v>
      </c>
      <c r="E40" s="62">
        <f>E9</f>
        <v>0.19733292222307863</v>
      </c>
      <c r="F40" s="62">
        <f t="shared" ref="F40:H40" si="27">F9</f>
        <v>0.28455546256357422</v>
      </c>
      <c r="G40" s="62">
        <f t="shared" si="27"/>
        <v>-0.14163283716734321</v>
      </c>
      <c r="H40" s="62">
        <f t="shared" si="27"/>
        <v>-3.6784025223331573E-2</v>
      </c>
      <c r="I40" s="33">
        <v>1.4999999999999999E-2</v>
      </c>
      <c r="J40" s="33">
        <v>1.4999999999999999E-2</v>
      </c>
      <c r="K40" s="33">
        <v>1.4999999999999999E-2</v>
      </c>
      <c r="L40" s="33">
        <v>1.4999999999999999E-2</v>
      </c>
      <c r="M40" s="34">
        <v>1.4999999999999999E-2</v>
      </c>
    </row>
    <row r="41" spans="2:13" x14ac:dyDescent="0.3">
      <c r="B41" s="25" t="s">
        <v>284</v>
      </c>
      <c r="C41" s="22" t="s">
        <v>236</v>
      </c>
      <c r="E41" s="62">
        <f>E11</f>
        <v>0.69110695833791369</v>
      </c>
      <c r="F41" s="62">
        <f t="shared" ref="F41:H41" si="28">F11</f>
        <v>8.9898595943837645E-2</v>
      </c>
      <c r="G41" s="62">
        <f t="shared" si="28"/>
        <v>4.4730721059222933E-3</v>
      </c>
      <c r="H41" s="62">
        <f t="shared" si="28"/>
        <v>-4.459090369314811E-2</v>
      </c>
      <c r="I41" s="33">
        <v>2E-3</v>
      </c>
      <c r="J41" s="33">
        <v>2E-3</v>
      </c>
      <c r="K41" s="33">
        <v>2E-3</v>
      </c>
      <c r="L41" s="33">
        <v>2E-3</v>
      </c>
      <c r="M41" s="34">
        <v>2E-3</v>
      </c>
    </row>
    <row r="42" spans="2:13" x14ac:dyDescent="0.3">
      <c r="B42" s="25" t="s">
        <v>285</v>
      </c>
      <c r="C42" s="22" t="s">
        <v>236</v>
      </c>
      <c r="E42" s="62">
        <f>E15</f>
        <v>6.7279711325806124E-2</v>
      </c>
      <c r="F42" s="62">
        <f t="shared" ref="F42:H42" si="29">F15</f>
        <v>0.12309593921547246</v>
      </c>
      <c r="G42" s="62">
        <f t="shared" si="29"/>
        <v>0.10953937785258794</v>
      </c>
      <c r="H42" s="62">
        <f t="shared" si="29"/>
        <v>3.2645797473524585E-2</v>
      </c>
      <c r="I42" s="33">
        <v>5.2999999999999999E-2</v>
      </c>
      <c r="J42" s="33">
        <v>5.2999999999999999E-2</v>
      </c>
      <c r="K42" s="33">
        <v>5.2999999999999999E-2</v>
      </c>
      <c r="L42" s="33">
        <v>5.2999999999999999E-2</v>
      </c>
      <c r="M42" s="34">
        <v>5.2999999999999999E-2</v>
      </c>
    </row>
    <row r="43" spans="2:13" x14ac:dyDescent="0.3">
      <c r="B43" s="25" t="s">
        <v>286</v>
      </c>
      <c r="C43" s="22" t="s">
        <v>236</v>
      </c>
      <c r="E43" s="62">
        <f>E17</f>
        <v>9.0815946348733245E-2</v>
      </c>
      <c r="F43" s="62">
        <f t="shared" ref="F43:H43" si="30">F17</f>
        <v>5.0550764238749935E-2</v>
      </c>
      <c r="G43" s="62">
        <f t="shared" si="30"/>
        <v>-6.0310493375599461E-2</v>
      </c>
      <c r="H43" s="62">
        <f t="shared" si="30"/>
        <v>0.12092379551941868</v>
      </c>
      <c r="I43" s="33">
        <v>0.03</v>
      </c>
      <c r="J43" s="33">
        <v>0.03</v>
      </c>
      <c r="K43" s="33">
        <v>0.03</v>
      </c>
      <c r="L43" s="33">
        <v>0.03</v>
      </c>
      <c r="M43" s="34">
        <v>0.03</v>
      </c>
    </row>
    <row r="44" spans="2:13" x14ac:dyDescent="0.3">
      <c r="B44" s="63" t="s">
        <v>287</v>
      </c>
      <c r="C44" s="64" t="s">
        <v>236</v>
      </c>
      <c r="D44" s="4"/>
      <c r="E44" s="51">
        <f>E22</f>
        <v>0.47788378143972254</v>
      </c>
      <c r="F44" s="51">
        <f t="shared" ref="F44:H44" si="31">F22</f>
        <v>-1.6431924882629123E-2</v>
      </c>
      <c r="G44" s="51">
        <f t="shared" si="31"/>
        <v>6.6825775656324637E-2</v>
      </c>
      <c r="H44" s="51">
        <f t="shared" si="31"/>
        <v>-0.12360178970917224</v>
      </c>
      <c r="I44" s="65">
        <v>0.04</v>
      </c>
      <c r="J44" s="65">
        <v>0.04</v>
      </c>
      <c r="K44" s="65">
        <v>0.04</v>
      </c>
      <c r="L44" s="65">
        <v>0.04</v>
      </c>
      <c r="M44" s="66">
        <v>0.04</v>
      </c>
    </row>
  </sheetData>
  <mergeCells count="2">
    <mergeCell ref="D3:H3"/>
    <mergeCell ref="I3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2210-EDD9-41A6-B273-76F372A7ADD4}">
  <dimension ref="A3:Y179"/>
  <sheetViews>
    <sheetView showGridLines="0" topLeftCell="A161" zoomScale="55" zoomScaleNormal="85" workbookViewId="0">
      <selection activeCell="F176" sqref="F176"/>
    </sheetView>
  </sheetViews>
  <sheetFormatPr defaultColWidth="8.85546875" defaultRowHeight="16.5" x14ac:dyDescent="0.3"/>
  <cols>
    <col min="1" max="1" width="8.85546875" style="1"/>
    <col min="2" max="2" width="41" style="1" bestFit="1" customWidth="1"/>
    <col min="3" max="6" width="10.42578125" style="1" bestFit="1" customWidth="1"/>
    <col min="7" max="7" width="11.5703125" style="1" bestFit="1" customWidth="1"/>
    <col min="8" max="8" width="10.85546875" style="1" bestFit="1" customWidth="1"/>
    <col min="9" max="9" width="23.140625" style="1" customWidth="1"/>
    <col min="10" max="10" width="12.85546875" style="1" customWidth="1"/>
    <col min="11" max="12" width="11.85546875" style="1" bestFit="1" customWidth="1"/>
    <col min="13" max="13" width="13" style="1" customWidth="1"/>
    <col min="14" max="14" width="11.85546875" style="1" bestFit="1" customWidth="1"/>
    <col min="15" max="18" width="8.85546875" style="1"/>
    <col min="19" max="19" width="9.140625" style="1" bestFit="1" customWidth="1"/>
    <col min="20" max="16384" width="8.85546875" style="1"/>
  </cols>
  <sheetData>
    <row r="3" spans="2:15" x14ac:dyDescent="0.3">
      <c r="B3" s="1" t="s">
        <v>42</v>
      </c>
      <c r="C3" s="1">
        <f>Assumptions!C12</f>
        <v>2</v>
      </c>
      <c r="D3" s="1" t="s">
        <v>43</v>
      </c>
    </row>
    <row r="4" spans="2:15" x14ac:dyDescent="0.3">
      <c r="E4" s="353" t="s">
        <v>44</v>
      </c>
      <c r="F4" s="353"/>
      <c r="G4" s="353"/>
      <c r="H4" s="353"/>
      <c r="I4" s="353"/>
      <c r="J4" s="353" t="s">
        <v>45</v>
      </c>
      <c r="K4" s="353"/>
      <c r="L4" s="353"/>
      <c r="M4" s="353"/>
      <c r="N4" s="353"/>
    </row>
    <row r="5" spans="2:15" x14ac:dyDescent="0.3">
      <c r="B5" s="79" t="s">
        <v>46</v>
      </c>
      <c r="C5" s="79"/>
      <c r="D5" s="79"/>
      <c r="E5" s="79" t="s">
        <v>47</v>
      </c>
      <c r="F5" s="79" t="s">
        <v>48</v>
      </c>
      <c r="G5" s="79" t="s">
        <v>49</v>
      </c>
      <c r="H5" s="79" t="s">
        <v>50</v>
      </c>
      <c r="I5" s="79" t="s">
        <v>51</v>
      </c>
      <c r="J5" s="79" t="s">
        <v>52</v>
      </c>
      <c r="K5" s="79" t="s">
        <v>53</v>
      </c>
      <c r="L5" s="79" t="s">
        <v>25</v>
      </c>
      <c r="M5" s="79" t="s">
        <v>26</v>
      </c>
      <c r="N5" s="79" t="s">
        <v>27</v>
      </c>
    </row>
    <row r="6" spans="2:15" x14ac:dyDescent="0.3">
      <c r="B6" s="80" t="s">
        <v>54</v>
      </c>
      <c r="E6" s="84">
        <f>'Income Statement'!C6</f>
        <v>62164</v>
      </c>
      <c r="F6" s="84">
        <f>'Income Statement'!D6</f>
        <v>79040</v>
      </c>
      <c r="G6" s="84">
        <f>'Income Statement'!E6</f>
        <v>90621</v>
      </c>
      <c r="H6" s="84">
        <f>'Income Statement'!F6</f>
        <v>92154</v>
      </c>
      <c r="I6" s="84">
        <f>'Income Statement'!G6</f>
        <v>94224</v>
      </c>
      <c r="J6" s="85">
        <f>'Revenue Model'!I25</f>
        <v>87040.78</v>
      </c>
      <c r="K6" s="85">
        <f>'Revenue Model'!J25</f>
        <v>91878.300868000006</v>
      </c>
      <c r="L6" s="85">
        <f>'Revenue Model'!K25</f>
        <v>97045.546287609977</v>
      </c>
      <c r="M6" s="85">
        <f>'Revenue Model'!L25</f>
        <v>102567.30717898715</v>
      </c>
      <c r="N6" s="85">
        <f>'Revenue Model'!M25</f>
        <v>108470.32728260533</v>
      </c>
      <c r="O6" s="1" t="s">
        <v>55</v>
      </c>
    </row>
    <row r="7" spans="2:15" x14ac:dyDescent="0.3">
      <c r="B7" s="4" t="s">
        <v>56</v>
      </c>
      <c r="C7" s="4"/>
      <c r="D7" s="4"/>
      <c r="E7" s="81">
        <f>-(E6-E8)</f>
        <v>-59714</v>
      </c>
      <c r="F7" s="81">
        <f t="shared" ref="F7:I7" si="0">-(F6-F8)</f>
        <v>-72822</v>
      </c>
      <c r="G7" s="81">
        <f t="shared" si="0"/>
        <v>-83066</v>
      </c>
      <c r="H7" s="81">
        <f t="shared" si="0"/>
        <v>-83389</v>
      </c>
      <c r="I7" s="81">
        <f t="shared" si="0"/>
        <v>-83690</v>
      </c>
      <c r="J7" s="81">
        <f>-(J6-J8)</f>
        <v>-80686.803060000006</v>
      </c>
      <c r="K7" s="81">
        <f t="shared" ref="K7:N7" si="1">-(K6-K8)</f>
        <v>-85171.184904636</v>
      </c>
      <c r="L7" s="81">
        <f t="shared" si="1"/>
        <v>-89961.221408614452</v>
      </c>
      <c r="M7" s="81">
        <f t="shared" si="1"/>
        <v>-95079.893754921082</v>
      </c>
      <c r="N7" s="81">
        <f t="shared" si="1"/>
        <v>-100551.99339097514</v>
      </c>
    </row>
    <row r="8" spans="2:15" x14ac:dyDescent="0.3">
      <c r="B8" s="82" t="s">
        <v>57</v>
      </c>
      <c r="C8" s="83"/>
      <c r="D8" s="83"/>
      <c r="E8" s="86">
        <v>2450</v>
      </c>
      <c r="F8" s="86">
        <v>6218</v>
      </c>
      <c r="G8" s="86">
        <v>7555</v>
      </c>
      <c r="H8" s="86">
        <v>8765</v>
      </c>
      <c r="I8" s="86">
        <v>10534</v>
      </c>
      <c r="J8" s="84">
        <f>J6*J17</f>
        <v>6353.9769399999996</v>
      </c>
      <c r="K8" s="84">
        <f>K6*K17</f>
        <v>6707.115963364</v>
      </c>
      <c r="L8" s="84">
        <f>L6*L17</f>
        <v>7084.3248789955278</v>
      </c>
      <c r="M8" s="84">
        <f>M6*M17</f>
        <v>7487.4134240660615</v>
      </c>
      <c r="N8" s="84">
        <f>N6*N17</f>
        <v>7918.3338916301882</v>
      </c>
    </row>
    <row r="9" spans="2:15" x14ac:dyDescent="0.3">
      <c r="B9" s="4" t="s">
        <v>58</v>
      </c>
      <c r="C9" s="4"/>
      <c r="D9" s="4"/>
      <c r="E9" s="81">
        <v>-4840</v>
      </c>
      <c r="F9" s="81">
        <v>-8634</v>
      </c>
      <c r="G9" s="81">
        <v>-7746</v>
      </c>
      <c r="H9" s="85">
        <v>-6143</v>
      </c>
      <c r="I9" s="81">
        <v>-5390</v>
      </c>
      <c r="J9" s="85">
        <f>-(J6*J18)</f>
        <v>-3481.6311999999998</v>
      </c>
      <c r="K9" s="85">
        <f>-(K6*K18)</f>
        <v>-3675.1320347200003</v>
      </c>
      <c r="L9" s="85">
        <f>-(L6*L18)</f>
        <v>-3881.8218515043991</v>
      </c>
      <c r="M9" s="85">
        <f>-(M6*M18)</f>
        <v>-4102.6922871594861</v>
      </c>
      <c r="N9" s="85">
        <f>-(N6*N18)</f>
        <v>-4338.8130913042132</v>
      </c>
    </row>
    <row r="10" spans="2:15" x14ac:dyDescent="0.3">
      <c r="B10" s="82" t="s">
        <v>59</v>
      </c>
      <c r="C10" s="82"/>
      <c r="D10" s="82"/>
      <c r="E10" s="86">
        <f>E8+E9</f>
        <v>-2390</v>
      </c>
      <c r="F10" s="86">
        <f t="shared" ref="F10:I10" si="2">F8+F9</f>
        <v>-2416</v>
      </c>
      <c r="G10" s="86">
        <f t="shared" si="2"/>
        <v>-191</v>
      </c>
      <c r="H10" s="86">
        <f t="shared" si="2"/>
        <v>2622</v>
      </c>
      <c r="I10" s="86">
        <f t="shared" si="2"/>
        <v>5144</v>
      </c>
      <c r="J10" s="86">
        <f>J8+J9</f>
        <v>2872.3457399999998</v>
      </c>
      <c r="K10" s="86">
        <f t="shared" ref="K10:N10" si="3">K8+K9</f>
        <v>3031.9839286439997</v>
      </c>
      <c r="L10" s="86">
        <f t="shared" si="3"/>
        <v>3202.5030274911287</v>
      </c>
      <c r="M10" s="86">
        <f t="shared" si="3"/>
        <v>3384.7211369065753</v>
      </c>
      <c r="N10" s="86">
        <f t="shared" si="3"/>
        <v>3579.520800325975</v>
      </c>
    </row>
    <row r="11" spans="2:15" x14ac:dyDescent="0.3">
      <c r="B11" s="87" t="s">
        <v>60</v>
      </c>
      <c r="E11" s="85">
        <v>-2104</v>
      </c>
      <c r="F11" s="85">
        <v>-2353</v>
      </c>
      <c r="G11" s="85">
        <v>-2170</v>
      </c>
      <c r="H11" s="85">
        <v>-2626</v>
      </c>
      <c r="I11" s="85">
        <v>-1474</v>
      </c>
      <c r="J11" s="85">
        <v>-1474</v>
      </c>
      <c r="K11" s="85">
        <v>-1474</v>
      </c>
      <c r="L11" s="85">
        <v>-1474</v>
      </c>
      <c r="M11" s="85">
        <v>-1474</v>
      </c>
      <c r="N11" s="85">
        <v>-1474</v>
      </c>
      <c r="O11" s="1" t="s">
        <v>61</v>
      </c>
    </row>
    <row r="12" spans="2:15" x14ac:dyDescent="0.3">
      <c r="B12" s="82" t="s">
        <v>62</v>
      </c>
      <c r="C12" s="83"/>
      <c r="D12" s="83"/>
      <c r="E12" s="86">
        <f t="shared" ref="E12:N12" si="4">E10+E11</f>
        <v>-4494</v>
      </c>
      <c r="F12" s="86">
        <f t="shared" si="4"/>
        <v>-4769</v>
      </c>
      <c r="G12" s="86">
        <f t="shared" si="4"/>
        <v>-2361</v>
      </c>
      <c r="H12" s="86">
        <f t="shared" si="4"/>
        <v>-4</v>
      </c>
      <c r="I12" s="86">
        <f t="shared" si="4"/>
        <v>3670</v>
      </c>
      <c r="J12" s="86">
        <f>J10+J11</f>
        <v>1398.3457399999998</v>
      </c>
      <c r="K12" s="86">
        <f t="shared" si="4"/>
        <v>1557.9839286439997</v>
      </c>
      <c r="L12" s="86">
        <f t="shared" si="4"/>
        <v>1728.5030274911287</v>
      </c>
      <c r="M12" s="86">
        <f t="shared" si="4"/>
        <v>1910.7211369065753</v>
      </c>
      <c r="N12" s="86">
        <f t="shared" si="4"/>
        <v>2105.520800325975</v>
      </c>
    </row>
    <row r="13" spans="2:15" x14ac:dyDescent="0.3">
      <c r="B13" s="1" t="s">
        <v>63</v>
      </c>
      <c r="E13" s="85">
        <v>-1420</v>
      </c>
      <c r="F13" s="85">
        <v>-1843</v>
      </c>
      <c r="G13" s="85">
        <v>-180</v>
      </c>
      <c r="H13" s="85">
        <v>-5533</v>
      </c>
      <c r="I13" s="85">
        <v>165</v>
      </c>
      <c r="J13" s="85">
        <f>J12*J19</f>
        <v>293.65260539999991</v>
      </c>
      <c r="K13" s="85">
        <f>K12*K19</f>
        <v>327.17662501523989</v>
      </c>
      <c r="L13" s="85">
        <f>L12*L19</f>
        <v>362.98563577313701</v>
      </c>
      <c r="M13" s="85">
        <f>M12*M19</f>
        <v>401.25143875038083</v>
      </c>
      <c r="N13" s="85">
        <f>N12*N19</f>
        <v>442.15936806845474</v>
      </c>
    </row>
    <row r="14" spans="2:15" x14ac:dyDescent="0.3">
      <c r="B14" s="82" t="s">
        <v>64</v>
      </c>
      <c r="C14" s="82"/>
      <c r="D14" s="82"/>
      <c r="E14" s="86">
        <f>E12-E13</f>
        <v>-3074</v>
      </c>
      <c r="F14" s="86">
        <f t="shared" ref="F14:G14" si="5">F12-F13</f>
        <v>-2926</v>
      </c>
      <c r="G14" s="86">
        <f t="shared" si="5"/>
        <v>-2181</v>
      </c>
      <c r="H14" s="86">
        <f>H12-H13</f>
        <v>5529</v>
      </c>
      <c r="I14" s="86">
        <f>I12-I13</f>
        <v>3505</v>
      </c>
      <c r="J14" s="86">
        <f>J12-J13</f>
        <v>1104.6931345999999</v>
      </c>
      <c r="K14" s="86">
        <f t="shared" ref="K14:N14" si="6">K12-K13</f>
        <v>1230.8073036287597</v>
      </c>
      <c r="L14" s="86">
        <f t="shared" si="6"/>
        <v>1365.5173917179918</v>
      </c>
      <c r="M14" s="86">
        <f t="shared" si="6"/>
        <v>1509.4696981561945</v>
      </c>
      <c r="N14" s="86">
        <f t="shared" si="6"/>
        <v>1663.3614322575202</v>
      </c>
    </row>
    <row r="15" spans="2:15" x14ac:dyDescent="0.3">
      <c r="B15" s="80"/>
      <c r="E15" s="96"/>
      <c r="F15" s="96"/>
      <c r="G15" s="96"/>
      <c r="H15" s="96"/>
      <c r="I15" s="96"/>
      <c r="J15" s="296"/>
      <c r="K15" s="296"/>
      <c r="L15" s="296"/>
      <c r="M15" s="296"/>
      <c r="N15" s="296"/>
    </row>
    <row r="16" spans="2:15" x14ac:dyDescent="0.3">
      <c r="B16" s="88" t="s">
        <v>65</v>
      </c>
      <c r="C16" s="83"/>
      <c r="D16" s="83"/>
      <c r="E16" s="89" t="str">
        <f t="shared" ref="E16:N16" si="7">IFERROR(E6/D6-1,"-")</f>
        <v>-</v>
      </c>
      <c r="F16" s="89">
        <f t="shared" si="7"/>
        <v>0.27147545203011392</v>
      </c>
      <c r="G16" s="89">
        <f t="shared" si="7"/>
        <v>0.14652074898785417</v>
      </c>
      <c r="H16" s="89">
        <f t="shared" si="7"/>
        <v>1.6916608733075211E-2</v>
      </c>
      <c r="I16" s="89">
        <f t="shared" si="7"/>
        <v>2.2462399895826657E-2</v>
      </c>
      <c r="J16" s="89">
        <f t="shared" si="7"/>
        <v>-7.6235566310069669E-2</v>
      </c>
      <c r="K16" s="89">
        <f t="shared" si="7"/>
        <v>5.5577636919154516E-2</v>
      </c>
      <c r="L16" s="89">
        <f t="shared" si="7"/>
        <v>5.6240106432025483E-2</v>
      </c>
      <c r="M16" s="89">
        <f t="shared" si="7"/>
        <v>5.6898653288143253E-2</v>
      </c>
      <c r="N16" s="90">
        <f t="shared" si="7"/>
        <v>5.7552647778078114E-2</v>
      </c>
      <c r="O16" s="1" t="s">
        <v>66</v>
      </c>
    </row>
    <row r="17" spans="1:15" x14ac:dyDescent="0.3">
      <c r="B17" s="3" t="s">
        <v>28</v>
      </c>
      <c r="E17" s="91">
        <f>E8/E6</f>
        <v>3.9411878257512384E-2</v>
      </c>
      <c r="F17" s="91">
        <f>F8/F6</f>
        <v>7.8669028340080965E-2</v>
      </c>
      <c r="G17" s="91">
        <f>G8/G6</f>
        <v>8.3369196985246252E-2</v>
      </c>
      <c r="H17" s="91">
        <f>H8/H6</f>
        <v>9.511252902749745E-2</v>
      </c>
      <c r="I17" s="91">
        <f>I8/I6</f>
        <v>0.11179741891662422</v>
      </c>
      <c r="J17" s="91">
        <f>Assumptions!C15</f>
        <v>7.2999999999999995E-2</v>
      </c>
      <c r="K17" s="91">
        <f>Assumptions!D15</f>
        <v>7.2999999999999995E-2</v>
      </c>
      <c r="L17" s="91">
        <f>Assumptions!E15</f>
        <v>7.2999999999999995E-2</v>
      </c>
      <c r="M17" s="91">
        <f>Assumptions!F15</f>
        <v>7.2999999999999995E-2</v>
      </c>
      <c r="N17" s="92">
        <f>Assumptions!G15</f>
        <v>7.2999999999999995E-2</v>
      </c>
      <c r="O17" s="62" t="s">
        <v>67</v>
      </c>
    </row>
    <row r="18" spans="1:15" x14ac:dyDescent="0.3">
      <c r="B18" s="3" t="s">
        <v>29</v>
      </c>
      <c r="E18" s="91">
        <f>-E9/E6</f>
        <v>7.7858567659738753E-2</v>
      </c>
      <c r="F18" s="91">
        <f>-F9/F6</f>
        <v>0.10923582995951417</v>
      </c>
      <c r="G18" s="91">
        <f>-G9/G6</f>
        <v>8.5476876220743542E-2</v>
      </c>
      <c r="H18" s="91">
        <f>-H9/H6</f>
        <v>6.6660155826117146E-2</v>
      </c>
      <c r="I18" s="91">
        <f>-I9/I6</f>
        <v>5.7204109356427238E-2</v>
      </c>
      <c r="J18" s="91">
        <f>Assumptions!C16</f>
        <v>0.04</v>
      </c>
      <c r="K18" s="91">
        <f>Assumptions!D16</f>
        <v>0.04</v>
      </c>
      <c r="L18" s="91">
        <f>Assumptions!E16</f>
        <v>0.04</v>
      </c>
      <c r="M18" s="91">
        <f>Assumptions!F16</f>
        <v>0.04</v>
      </c>
      <c r="N18" s="92">
        <f>Assumptions!G16</f>
        <v>0.04</v>
      </c>
      <c r="O18" s="62" t="s">
        <v>67</v>
      </c>
    </row>
    <row r="19" spans="1:15" x14ac:dyDescent="0.3">
      <c r="B19" s="93" t="s">
        <v>30</v>
      </c>
      <c r="C19" s="4"/>
      <c r="D19" s="4"/>
      <c r="E19" s="94">
        <f>E13/E12</f>
        <v>0.31597685803293279</v>
      </c>
      <c r="F19" s="94">
        <f>F13/F12</f>
        <v>0.38645418326693226</v>
      </c>
      <c r="G19" s="94">
        <f>G13/G12</f>
        <v>7.6238881829733166E-2</v>
      </c>
      <c r="H19" s="94">
        <f>H13/H12</f>
        <v>1383.25</v>
      </c>
      <c r="I19" s="94">
        <f>I13/I12</f>
        <v>4.4959128065395093E-2</v>
      </c>
      <c r="J19" s="94">
        <f>Assumptions!C17</f>
        <v>0.21</v>
      </c>
      <c r="K19" s="94">
        <f>Assumptions!D17</f>
        <v>0.21</v>
      </c>
      <c r="L19" s="94">
        <f>Assumptions!E17</f>
        <v>0.21</v>
      </c>
      <c r="M19" s="94">
        <f>Assumptions!F17</f>
        <v>0.21</v>
      </c>
      <c r="N19" s="95">
        <f>Assumptions!G17</f>
        <v>0.21</v>
      </c>
      <c r="O19" s="1" t="s">
        <v>68</v>
      </c>
    </row>
    <row r="20" spans="1:15" x14ac:dyDescent="0.3">
      <c r="J20" s="96"/>
      <c r="K20" s="96"/>
      <c r="L20" s="96"/>
      <c r="M20" s="96"/>
      <c r="N20" s="96"/>
    </row>
    <row r="21" spans="1:15" x14ac:dyDescent="0.3">
      <c r="J21" s="96"/>
      <c r="K21" s="96"/>
      <c r="L21" s="96"/>
      <c r="M21" s="96"/>
      <c r="N21" s="96"/>
    </row>
    <row r="22" spans="1:15" x14ac:dyDescent="0.3">
      <c r="B22" s="79" t="s">
        <v>12</v>
      </c>
      <c r="C22" s="79"/>
      <c r="D22" s="79"/>
      <c r="E22" s="79" t="s">
        <v>47</v>
      </c>
      <c r="F22" s="79" t="s">
        <v>48</v>
      </c>
      <c r="G22" s="79" t="s">
        <v>49</v>
      </c>
      <c r="H22" s="79" t="s">
        <v>50</v>
      </c>
      <c r="I22" s="79" t="s">
        <v>51</v>
      </c>
      <c r="J22" s="79" t="s">
        <v>52</v>
      </c>
      <c r="K22" s="79" t="s">
        <v>53</v>
      </c>
      <c r="L22" s="79" t="s">
        <v>25</v>
      </c>
      <c r="M22" s="79" t="s">
        <v>26</v>
      </c>
      <c r="N22" s="79" t="s">
        <v>27</v>
      </c>
    </row>
    <row r="23" spans="1:15" x14ac:dyDescent="0.3">
      <c r="A23" s="124"/>
      <c r="B23" s="124" t="s">
        <v>69</v>
      </c>
      <c r="C23" s="124"/>
      <c r="E23" s="124"/>
      <c r="F23" s="124"/>
      <c r="G23" s="124"/>
      <c r="H23" s="124"/>
    </row>
    <row r="24" spans="1:15" x14ac:dyDescent="0.3">
      <c r="A24" s="124"/>
      <c r="B24" s="125" t="s">
        <v>70</v>
      </c>
      <c r="E24" s="126">
        <v>11449</v>
      </c>
      <c r="F24" s="126">
        <v>16129</v>
      </c>
      <c r="G24" s="126">
        <v>9676</v>
      </c>
      <c r="H24" s="126">
        <v>9302</v>
      </c>
      <c r="I24" s="126">
        <v>14201</v>
      </c>
      <c r="J24" s="27">
        <f>J110</f>
        <v>20045.322214599993</v>
      </c>
      <c r="K24" s="27">
        <f t="shared" ref="K24:N24" si="8">K110</f>
        <v>22841.709186076754</v>
      </c>
      <c r="L24" s="27">
        <f t="shared" si="8"/>
        <v>25922.990769696204</v>
      </c>
      <c r="M24" s="27">
        <f t="shared" si="8"/>
        <v>29308.613296576637</v>
      </c>
      <c r="N24" s="27">
        <f t="shared" si="8"/>
        <v>33019.486277111093</v>
      </c>
    </row>
    <row r="25" spans="1:15" x14ac:dyDescent="0.3">
      <c r="A25" s="124"/>
      <c r="B25" s="125" t="s">
        <v>71</v>
      </c>
      <c r="E25" s="126">
        <v>9420</v>
      </c>
      <c r="F25" s="126">
        <v>11721</v>
      </c>
      <c r="G25" s="126">
        <v>12371</v>
      </c>
      <c r="H25" s="126">
        <v>12484</v>
      </c>
      <c r="I25" s="126">
        <v>12788</v>
      </c>
      <c r="J25" s="27">
        <f>J42*J6</f>
        <v>12359.790759999998</v>
      </c>
      <c r="K25" s="27">
        <f>K42*K6</f>
        <v>13046.718723255999</v>
      </c>
      <c r="L25" s="27">
        <f>L42*L6</f>
        <v>13780.467572840616</v>
      </c>
      <c r="M25" s="27">
        <f>M42*M6</f>
        <v>14564.557619416173</v>
      </c>
      <c r="N25" s="27">
        <f>N42*N6</f>
        <v>15402.786474129955</v>
      </c>
    </row>
    <row r="26" spans="1:15" x14ac:dyDescent="0.3">
      <c r="A26" s="124"/>
      <c r="B26" s="125" t="s">
        <v>72</v>
      </c>
      <c r="E26" s="126">
        <v>3222</v>
      </c>
      <c r="F26" s="126">
        <v>3919</v>
      </c>
      <c r="G26" s="126">
        <v>4398</v>
      </c>
      <c r="H26" s="126">
        <v>4895</v>
      </c>
      <c r="I26" s="126">
        <v>5155</v>
      </c>
      <c r="J26" s="27">
        <f>I26</f>
        <v>5155</v>
      </c>
      <c r="K26" s="27">
        <f>J26</f>
        <v>5155</v>
      </c>
      <c r="L26" s="27">
        <f>K26</f>
        <v>5155</v>
      </c>
      <c r="M26" s="27">
        <f>L26</f>
        <v>5155</v>
      </c>
      <c r="N26" s="27">
        <f>M26</f>
        <v>5155</v>
      </c>
    </row>
    <row r="27" spans="1:15" x14ac:dyDescent="0.3">
      <c r="A27" s="124"/>
      <c r="B27" s="125" t="s">
        <v>73</v>
      </c>
      <c r="E27" s="126">
        <v>2538</v>
      </c>
      <c r="F27" s="126">
        <v>2678</v>
      </c>
      <c r="G27" s="126">
        <v>3649</v>
      </c>
      <c r="H27" s="126">
        <v>3281</v>
      </c>
      <c r="I27" s="126">
        <v>3402</v>
      </c>
      <c r="J27" s="27">
        <f>J43*J6</f>
        <v>3220.5088599999999</v>
      </c>
      <c r="K27" s="27">
        <f>K43*K6</f>
        <v>3399.4971321160001</v>
      </c>
      <c r="L27" s="27">
        <f>L43*L6</f>
        <v>3590.6852126415688</v>
      </c>
      <c r="M27" s="27">
        <f>M43*M6</f>
        <v>3794.9903656225242</v>
      </c>
      <c r="N27" s="27">
        <f>N43*N6</f>
        <v>4013.4021094563968</v>
      </c>
    </row>
    <row r="28" spans="1:15" x14ac:dyDescent="0.3">
      <c r="A28" s="124"/>
      <c r="B28" s="125" t="s">
        <v>74</v>
      </c>
      <c r="E28" s="126">
        <v>4144</v>
      </c>
      <c r="F28" s="126">
        <v>5881</v>
      </c>
      <c r="G28" s="126">
        <v>6044</v>
      </c>
      <c r="H28" s="126">
        <v>6906</v>
      </c>
      <c r="I28" s="126">
        <v>8021</v>
      </c>
      <c r="J28" s="27">
        <f>I28*1.2</f>
        <v>9625.1999999999989</v>
      </c>
      <c r="K28" s="27">
        <f>J28</f>
        <v>9625.1999999999989</v>
      </c>
      <c r="L28" s="27">
        <f t="shared" ref="L28:N28" si="9">K28</f>
        <v>9625.1999999999989</v>
      </c>
      <c r="M28" s="27">
        <f t="shared" si="9"/>
        <v>9625.1999999999989</v>
      </c>
      <c r="N28" s="27">
        <f t="shared" si="9"/>
        <v>9625.1999999999989</v>
      </c>
    </row>
    <row r="29" spans="1:15" x14ac:dyDescent="0.3">
      <c r="A29" s="124"/>
      <c r="B29" s="127" t="s">
        <v>75</v>
      </c>
      <c r="C29" s="97"/>
      <c r="D29" s="97"/>
      <c r="E29" s="128">
        <v>30773</v>
      </c>
      <c r="F29" s="128">
        <v>40328</v>
      </c>
      <c r="G29" s="128">
        <v>36138</v>
      </c>
      <c r="H29" s="128">
        <v>36868</v>
      </c>
      <c r="I29" s="128">
        <v>43567</v>
      </c>
      <c r="J29" s="98">
        <f>SUM(J24:J28)</f>
        <v>50405.821834599992</v>
      </c>
      <c r="K29" s="98">
        <f t="shared" ref="K29:N29" si="10">SUM(K24:K28)</f>
        <v>54068.125041448744</v>
      </c>
      <c r="L29" s="98">
        <f t="shared" si="10"/>
        <v>58074.343555178384</v>
      </c>
      <c r="M29" s="98">
        <f t="shared" si="10"/>
        <v>62448.361281615333</v>
      </c>
      <c r="N29" s="98">
        <f t="shared" si="10"/>
        <v>67215.87486069744</v>
      </c>
    </row>
    <row r="30" spans="1:15" x14ac:dyDescent="0.3">
      <c r="A30" s="124"/>
      <c r="B30" s="124"/>
    </row>
    <row r="31" spans="1:15" x14ac:dyDescent="0.3">
      <c r="A31" s="124"/>
      <c r="B31" s="124" t="s">
        <v>76</v>
      </c>
      <c r="E31" s="129"/>
      <c r="F31" s="129"/>
      <c r="G31" s="129"/>
      <c r="H31" s="129"/>
      <c r="I31" s="129"/>
    </row>
    <row r="32" spans="1:15" x14ac:dyDescent="0.3">
      <c r="A32" s="124"/>
      <c r="B32" s="125" t="s">
        <v>77</v>
      </c>
      <c r="E32" s="126">
        <v>5653</v>
      </c>
      <c r="F32" s="126">
        <v>5390</v>
      </c>
      <c r="G32" s="126">
        <v>5259</v>
      </c>
      <c r="H32" s="126">
        <v>6055</v>
      </c>
      <c r="I32" s="126">
        <v>6431</v>
      </c>
      <c r="J32" s="27">
        <f>J118</f>
        <v>6707.7896804000002</v>
      </c>
      <c r="K32" s="27">
        <f t="shared" ref="K32:M32" si="11">K118</f>
        <v>6999.9626771602398</v>
      </c>
      <c r="L32" s="27">
        <f t="shared" si="11"/>
        <v>7308.5675143548397</v>
      </c>
      <c r="M32" s="27">
        <f t="shared" si="11"/>
        <v>7634.7315511840188</v>
      </c>
      <c r="N32" s="27">
        <f>N118</f>
        <v>7979.6671919427044</v>
      </c>
      <c r="O32" s="1" t="s">
        <v>78</v>
      </c>
    </row>
    <row r="33" spans="1:15" x14ac:dyDescent="0.3">
      <c r="A33" s="124"/>
      <c r="B33" s="125" t="s">
        <v>79</v>
      </c>
      <c r="E33" s="126">
        <v>3802</v>
      </c>
      <c r="F33" s="126">
        <v>4163</v>
      </c>
      <c r="G33" s="126">
        <v>1005</v>
      </c>
      <c r="H33" s="126">
        <v>864</v>
      </c>
      <c r="I33" s="126">
        <v>1624</v>
      </c>
      <c r="J33" s="27">
        <f t="shared" ref="J33:N37" si="12">I33</f>
        <v>1624</v>
      </c>
      <c r="K33" s="27">
        <f t="shared" si="12"/>
        <v>1624</v>
      </c>
      <c r="L33" s="27">
        <f t="shared" si="12"/>
        <v>1624</v>
      </c>
      <c r="M33" s="27">
        <f t="shared" si="12"/>
        <v>1624</v>
      </c>
      <c r="N33" s="27">
        <f t="shared" si="12"/>
        <v>1624</v>
      </c>
    </row>
    <row r="34" spans="1:15" x14ac:dyDescent="0.3">
      <c r="A34" s="124"/>
      <c r="B34" s="125" t="s">
        <v>80</v>
      </c>
      <c r="E34" s="126">
        <v>2651</v>
      </c>
      <c r="F34" s="126">
        <v>3724</v>
      </c>
      <c r="G34" s="126">
        <v>4224</v>
      </c>
      <c r="H34" s="126">
        <v>4848</v>
      </c>
      <c r="I34" s="126">
        <v>5339</v>
      </c>
      <c r="J34" s="27">
        <f t="shared" si="12"/>
        <v>5339</v>
      </c>
      <c r="K34" s="27">
        <f t="shared" si="12"/>
        <v>5339</v>
      </c>
      <c r="L34" s="27">
        <f t="shared" si="12"/>
        <v>5339</v>
      </c>
      <c r="M34" s="27">
        <f t="shared" si="12"/>
        <v>5339</v>
      </c>
      <c r="N34" s="27">
        <f t="shared" si="12"/>
        <v>5339</v>
      </c>
    </row>
    <row r="35" spans="1:15" x14ac:dyDescent="0.3">
      <c r="A35" s="124"/>
      <c r="B35" s="125" t="s">
        <v>81</v>
      </c>
      <c r="E35" s="126">
        <v>38910</v>
      </c>
      <c r="F35" s="126">
        <v>39920</v>
      </c>
      <c r="G35" s="126">
        <v>40089</v>
      </c>
      <c r="H35" s="126">
        <v>41691</v>
      </c>
      <c r="I35" s="126">
        <v>40829</v>
      </c>
      <c r="J35" s="27">
        <f>I35</f>
        <v>40829</v>
      </c>
      <c r="K35" s="27">
        <f t="shared" si="12"/>
        <v>40829</v>
      </c>
      <c r="L35" s="27">
        <f t="shared" si="12"/>
        <v>40829</v>
      </c>
      <c r="M35" s="27">
        <f t="shared" si="12"/>
        <v>40829</v>
      </c>
      <c r="N35" s="27">
        <f t="shared" si="12"/>
        <v>40829</v>
      </c>
      <c r="O35" s="1" t="s">
        <v>82</v>
      </c>
    </row>
    <row r="36" spans="1:15" x14ac:dyDescent="0.3">
      <c r="A36" s="124"/>
      <c r="B36" s="125" t="s">
        <v>83</v>
      </c>
      <c r="E36" s="126">
        <v>35053</v>
      </c>
      <c r="F36" s="126">
        <v>28265</v>
      </c>
      <c r="G36" s="126">
        <v>22270</v>
      </c>
      <c r="H36" s="126">
        <v>18107</v>
      </c>
      <c r="I36" s="126">
        <v>14429</v>
      </c>
      <c r="J36" s="27">
        <f>I36</f>
        <v>14429</v>
      </c>
      <c r="K36" s="27">
        <f t="shared" si="12"/>
        <v>14429</v>
      </c>
      <c r="L36" s="27">
        <f t="shared" si="12"/>
        <v>14429</v>
      </c>
      <c r="M36" s="27">
        <f t="shared" si="12"/>
        <v>14429</v>
      </c>
      <c r="N36" s="27">
        <f t="shared" si="12"/>
        <v>14429</v>
      </c>
      <c r="O36" s="1" t="s">
        <v>82</v>
      </c>
    </row>
    <row r="37" spans="1:15" x14ac:dyDescent="0.3">
      <c r="A37" s="124"/>
      <c r="B37" s="125" t="s">
        <v>84</v>
      </c>
      <c r="E37" s="126">
        <v>1364</v>
      </c>
      <c r="F37" s="126">
        <v>2403</v>
      </c>
      <c r="G37" s="126">
        <v>2835</v>
      </c>
      <c r="H37" s="126">
        <v>10428</v>
      </c>
      <c r="I37" s="126">
        <v>11196</v>
      </c>
      <c r="J37" s="27">
        <f>I37*1.2</f>
        <v>13435.199999999999</v>
      </c>
      <c r="K37" s="27">
        <f t="shared" si="12"/>
        <v>13435.199999999999</v>
      </c>
      <c r="L37" s="27">
        <f t="shared" si="12"/>
        <v>13435.199999999999</v>
      </c>
      <c r="M37" s="27">
        <f t="shared" si="12"/>
        <v>13435.199999999999</v>
      </c>
      <c r="N37" s="27">
        <f t="shared" si="12"/>
        <v>13435.199999999999</v>
      </c>
      <c r="O37" s="1" t="s">
        <v>82</v>
      </c>
    </row>
    <row r="38" spans="1:15" x14ac:dyDescent="0.3">
      <c r="A38" s="124"/>
      <c r="B38" s="130" t="s">
        <v>85</v>
      </c>
      <c r="C38" s="97"/>
      <c r="D38" s="97"/>
      <c r="E38" s="128">
        <v>87433</v>
      </c>
      <c r="F38" s="128">
        <v>83865</v>
      </c>
      <c r="G38" s="128">
        <v>75682</v>
      </c>
      <c r="H38" s="128">
        <v>81993</v>
      </c>
      <c r="I38" s="128">
        <v>79848</v>
      </c>
      <c r="J38" s="98">
        <f>SUM(J32:J37)</f>
        <v>82363.989680400002</v>
      </c>
      <c r="K38" s="98">
        <f t="shared" ref="K38:N38" si="13">SUM(K32:K37)</f>
        <v>82656.162677160246</v>
      </c>
      <c r="L38" s="98">
        <f t="shared" si="13"/>
        <v>82964.76751435484</v>
      </c>
      <c r="M38" s="98">
        <f t="shared" si="13"/>
        <v>83290.931551184025</v>
      </c>
      <c r="N38" s="98">
        <f t="shared" si="13"/>
        <v>83635.8671919427</v>
      </c>
    </row>
    <row r="39" spans="1:15" x14ac:dyDescent="0.3">
      <c r="A39" s="124"/>
      <c r="B39" s="124"/>
      <c r="E39" s="126"/>
      <c r="F39" s="126"/>
      <c r="G39" s="126"/>
      <c r="H39" s="126"/>
      <c r="I39" s="126"/>
      <c r="J39" s="27"/>
      <c r="K39" s="27"/>
      <c r="L39" s="27"/>
      <c r="M39" s="27"/>
      <c r="N39" s="27"/>
    </row>
    <row r="40" spans="1:15" x14ac:dyDescent="0.3">
      <c r="A40" s="124"/>
      <c r="B40" s="131" t="s">
        <v>86</v>
      </c>
      <c r="C40" s="97"/>
      <c r="D40" s="97"/>
      <c r="E40" s="128">
        <v>118206</v>
      </c>
      <c r="F40" s="128">
        <v>124193</v>
      </c>
      <c r="G40" s="128">
        <v>111820</v>
      </c>
      <c r="H40" s="128">
        <v>118861</v>
      </c>
      <c r="I40" s="128">
        <v>123415</v>
      </c>
      <c r="J40" s="98">
        <f>J29+J38</f>
        <v>132769.81151500001</v>
      </c>
      <c r="K40" s="98">
        <f t="shared" ref="K40:N40" si="14">K29+K38</f>
        <v>136724.28771860898</v>
      </c>
      <c r="L40" s="98">
        <f t="shared" si="14"/>
        <v>141039.11106953322</v>
      </c>
      <c r="M40" s="98">
        <f t="shared" si="14"/>
        <v>145739.29283279937</v>
      </c>
      <c r="N40" s="98">
        <f t="shared" si="14"/>
        <v>150851.74205264013</v>
      </c>
    </row>
    <row r="41" spans="1:15" x14ac:dyDescent="0.3">
      <c r="A41" s="124"/>
      <c r="B41" s="124"/>
      <c r="E41" s="124"/>
      <c r="F41" s="124"/>
      <c r="G41" s="124"/>
      <c r="H41" s="124"/>
      <c r="I41" s="124"/>
    </row>
    <row r="42" spans="1:15" x14ac:dyDescent="0.3">
      <c r="A42" s="124"/>
      <c r="B42" s="132" t="s">
        <v>31</v>
      </c>
      <c r="C42" s="83"/>
      <c r="D42" s="83"/>
      <c r="E42" s="133">
        <f>E25/E6</f>
        <v>0.15153465027990476</v>
      </c>
      <c r="F42" s="133">
        <f>F25/F6</f>
        <v>0.148292004048583</v>
      </c>
      <c r="G42" s="133">
        <f>G25/G6</f>
        <v>0.13651361163527218</v>
      </c>
      <c r="H42" s="133">
        <f>H25/H6</f>
        <v>0.13546888903357424</v>
      </c>
      <c r="I42" s="133">
        <f>I25/I6</f>
        <v>0.13571913737476651</v>
      </c>
      <c r="J42" s="99">
        <f>Assumptions!C18</f>
        <v>0.14199999999999999</v>
      </c>
      <c r="K42" s="99">
        <f>Assumptions!D18</f>
        <v>0.14199999999999999</v>
      </c>
      <c r="L42" s="99">
        <f>Assumptions!E18</f>
        <v>0.14199999999999999</v>
      </c>
      <c r="M42" s="99">
        <f>Assumptions!F18</f>
        <v>0.14199999999999999</v>
      </c>
      <c r="N42" s="100">
        <f>Assumptions!G18</f>
        <v>0.14199999999999999</v>
      </c>
    </row>
    <row r="43" spans="1:15" x14ac:dyDescent="0.3">
      <c r="A43" s="124"/>
      <c r="B43" s="134" t="s">
        <v>87</v>
      </c>
      <c r="C43" s="4"/>
      <c r="D43" s="4"/>
      <c r="E43" s="135">
        <f>E27/E6</f>
        <v>4.0827488578598546E-2</v>
      </c>
      <c r="F43" s="135">
        <f>F27/F6</f>
        <v>3.3881578947368422E-2</v>
      </c>
      <c r="G43" s="135">
        <f>G27/G6</f>
        <v>4.0266604870835679E-2</v>
      </c>
      <c r="H43" s="135">
        <f>H27/H6</f>
        <v>3.5603446404930877E-2</v>
      </c>
      <c r="I43" s="135">
        <f>I27/I6</f>
        <v>3.6105450840550175E-2</v>
      </c>
      <c r="J43" s="51">
        <f>Assumptions!C19</f>
        <v>3.6999999999999998E-2</v>
      </c>
      <c r="K43" s="51">
        <f>Assumptions!D19</f>
        <v>3.6999999999999998E-2</v>
      </c>
      <c r="L43" s="51">
        <f>Assumptions!E19</f>
        <v>3.6999999999999998E-2</v>
      </c>
      <c r="M43" s="51">
        <f>Assumptions!F19</f>
        <v>3.6999999999999998E-2</v>
      </c>
      <c r="N43" s="101">
        <f>Assumptions!G19</f>
        <v>3.6999999999999998E-2</v>
      </c>
    </row>
    <row r="44" spans="1:15" x14ac:dyDescent="0.3">
      <c r="A44" s="124"/>
      <c r="B44" s="124"/>
      <c r="E44" s="136"/>
      <c r="F44" s="136"/>
      <c r="G44" s="136"/>
      <c r="H44" s="136"/>
      <c r="I44" s="136"/>
      <c r="J44" s="62"/>
      <c r="K44" s="62"/>
      <c r="L44" s="62"/>
      <c r="M44" s="62"/>
      <c r="N44" s="62"/>
    </row>
    <row r="45" spans="1:15" x14ac:dyDescent="0.3">
      <c r="A45" s="124"/>
      <c r="B45" s="124" t="s">
        <v>88</v>
      </c>
      <c r="E45" s="124"/>
      <c r="F45" s="124"/>
      <c r="G45" s="124"/>
      <c r="H45" s="124"/>
      <c r="I45" s="124"/>
    </row>
    <row r="46" spans="1:15" x14ac:dyDescent="0.3">
      <c r="A46" s="124"/>
      <c r="B46" s="125" t="s">
        <v>89</v>
      </c>
      <c r="E46" s="126">
        <v>6329</v>
      </c>
      <c r="F46" s="126">
        <v>7873</v>
      </c>
      <c r="G46" s="126">
        <v>4320</v>
      </c>
      <c r="H46" s="126">
        <v>7737</v>
      </c>
      <c r="I46" s="126">
        <v>6362</v>
      </c>
      <c r="J46" s="126">
        <f>I46*0.8</f>
        <v>5089.6000000000004</v>
      </c>
      <c r="K46" s="126">
        <f t="shared" ref="K46" si="15">J46*0.8</f>
        <v>4071.6800000000003</v>
      </c>
      <c r="L46" s="126">
        <f>K46*1.02</f>
        <v>4153.1136000000006</v>
      </c>
      <c r="M46" s="126">
        <f t="shared" ref="M46:N46" si="16">L46*1.02</f>
        <v>4236.1758720000007</v>
      </c>
      <c r="N46" s="126">
        <f t="shared" si="16"/>
        <v>4320.899389440001</v>
      </c>
    </row>
    <row r="47" spans="1:15" x14ac:dyDescent="0.3">
      <c r="A47" s="124"/>
      <c r="B47" s="125" t="s">
        <v>90</v>
      </c>
      <c r="E47" s="126">
        <v>14422</v>
      </c>
      <c r="F47" s="126">
        <v>18334</v>
      </c>
      <c r="G47" s="126">
        <v>19213</v>
      </c>
      <c r="H47" s="126">
        <v>20065</v>
      </c>
      <c r="I47" s="126">
        <v>21696</v>
      </c>
      <c r="J47" s="27">
        <f>J59*J6</f>
        <v>19584.175500000001</v>
      </c>
      <c r="K47" s="27">
        <f>K59*K6</f>
        <v>20672.617695300003</v>
      </c>
      <c r="L47" s="27">
        <f>L59*L6</f>
        <v>21835.247914712247</v>
      </c>
      <c r="M47" s="27">
        <f>M59*M6</f>
        <v>23077.644115272109</v>
      </c>
      <c r="N47" s="27">
        <f>N59*N6</f>
        <v>24405.8236385862</v>
      </c>
    </row>
    <row r="48" spans="1:15" x14ac:dyDescent="0.3">
      <c r="A48" s="124"/>
      <c r="B48" s="125" t="s">
        <v>91</v>
      </c>
      <c r="E48" s="126">
        <v>7119</v>
      </c>
      <c r="F48" s="126">
        <v>8026</v>
      </c>
      <c r="G48" s="126">
        <v>8495</v>
      </c>
      <c r="H48" s="126">
        <v>9773</v>
      </c>
      <c r="I48" s="126">
        <v>9549</v>
      </c>
      <c r="J48" s="27">
        <f>I48*0.8</f>
        <v>7639.2000000000007</v>
      </c>
      <c r="K48" s="27">
        <f t="shared" ref="K48" si="17">J48*0.8</f>
        <v>6111.3600000000006</v>
      </c>
      <c r="L48" s="27">
        <f>K48*1.1</f>
        <v>6722.496000000001</v>
      </c>
      <c r="M48" s="27">
        <f t="shared" ref="M48:N48" si="18">L48*1.1</f>
        <v>7394.745600000002</v>
      </c>
      <c r="N48" s="27">
        <f t="shared" si="18"/>
        <v>8134.2201600000026</v>
      </c>
    </row>
    <row r="49" spans="1:15" x14ac:dyDescent="0.3">
      <c r="A49" s="124"/>
      <c r="B49" s="125" t="s">
        <v>92</v>
      </c>
      <c r="E49" s="126">
        <v>10265</v>
      </c>
      <c r="F49" s="126">
        <v>11606</v>
      </c>
      <c r="G49" s="126">
        <v>12944</v>
      </c>
      <c r="H49" s="126">
        <v>14881</v>
      </c>
      <c r="I49" s="126">
        <v>16525</v>
      </c>
      <c r="J49" s="27">
        <v>14608</v>
      </c>
      <c r="K49" s="27">
        <v>16525</v>
      </c>
      <c r="L49" s="27">
        <f t="shared" ref="L49:N49" si="19">K49</f>
        <v>16525</v>
      </c>
      <c r="M49" s="27">
        <f t="shared" si="19"/>
        <v>16525</v>
      </c>
      <c r="N49" s="27">
        <f t="shared" si="19"/>
        <v>16525</v>
      </c>
    </row>
    <row r="50" spans="1:15" x14ac:dyDescent="0.3">
      <c r="A50" s="124"/>
      <c r="B50" s="131" t="s">
        <v>93</v>
      </c>
      <c r="C50" s="97"/>
      <c r="D50" s="97"/>
      <c r="E50" s="128">
        <v>38135</v>
      </c>
      <c r="F50" s="128">
        <v>45839</v>
      </c>
      <c r="G50" s="128">
        <v>44972</v>
      </c>
      <c r="H50" s="128">
        <v>52456</v>
      </c>
      <c r="I50" s="128">
        <v>54132</v>
      </c>
      <c r="J50" s="98">
        <f>SUM(J46:J49)</f>
        <v>46920.9755</v>
      </c>
      <c r="K50" s="98">
        <f t="shared" ref="K50:N50" si="20">SUM(K46:K49)</f>
        <v>47380.657695300004</v>
      </c>
      <c r="L50" s="98">
        <f t="shared" si="20"/>
        <v>49235.857514712246</v>
      </c>
      <c r="M50" s="98">
        <f t="shared" si="20"/>
        <v>51233.565587272111</v>
      </c>
      <c r="N50" s="98">
        <f t="shared" si="20"/>
        <v>53385.943188026205</v>
      </c>
    </row>
    <row r="51" spans="1:15" x14ac:dyDescent="0.3">
      <c r="A51" s="124"/>
      <c r="B51" s="124"/>
      <c r="E51" s="126"/>
      <c r="F51" s="126"/>
      <c r="G51" s="126"/>
      <c r="H51" s="126"/>
      <c r="I51" s="126"/>
      <c r="J51" s="27"/>
      <c r="K51" s="27"/>
      <c r="L51" s="27"/>
      <c r="M51" s="27"/>
      <c r="N51" s="27"/>
    </row>
    <row r="52" spans="1:15" x14ac:dyDescent="0.3">
      <c r="A52" s="124"/>
      <c r="B52" s="124" t="s">
        <v>94</v>
      </c>
      <c r="E52" s="126"/>
      <c r="F52" s="126"/>
      <c r="G52" s="126"/>
      <c r="H52" s="126"/>
      <c r="I52" s="126"/>
      <c r="J52" s="27"/>
      <c r="K52" s="27"/>
      <c r="L52" s="27"/>
      <c r="M52" s="27"/>
      <c r="N52" s="27"/>
    </row>
    <row r="53" spans="1:15" x14ac:dyDescent="0.3">
      <c r="A53" s="124"/>
      <c r="B53" s="125" t="s">
        <v>95</v>
      </c>
      <c r="E53" s="126">
        <v>43061</v>
      </c>
      <c r="F53" s="126">
        <v>43998</v>
      </c>
      <c r="G53" s="126">
        <v>49201</v>
      </c>
      <c r="H53" s="126">
        <v>44319</v>
      </c>
      <c r="I53" s="126">
        <v>41622</v>
      </c>
      <c r="J53" s="126">
        <v>33297.339999999997</v>
      </c>
      <c r="K53" s="126">
        <v>32631.73</v>
      </c>
      <c r="L53" s="126">
        <v>33284.720000000001</v>
      </c>
      <c r="M53" s="126">
        <v>33950.339999999997</v>
      </c>
      <c r="N53" s="126">
        <v>34628.86</v>
      </c>
    </row>
    <row r="54" spans="1:15" x14ac:dyDescent="0.3">
      <c r="A54" s="124"/>
      <c r="B54" s="125" t="s">
        <v>96</v>
      </c>
      <c r="E54" s="126">
        <v>8431</v>
      </c>
      <c r="F54" s="126">
        <v>9210</v>
      </c>
      <c r="G54" s="126">
        <v>11066</v>
      </c>
      <c r="H54" s="126">
        <v>12919</v>
      </c>
      <c r="I54" s="126">
        <v>14276</v>
      </c>
      <c r="J54" s="27">
        <f>I54*0.8</f>
        <v>11420.800000000001</v>
      </c>
      <c r="K54" s="27">
        <v>13925</v>
      </c>
      <c r="L54" s="27">
        <v>13930</v>
      </c>
      <c r="M54" s="27">
        <v>14010</v>
      </c>
      <c r="N54" s="27">
        <v>14169</v>
      </c>
    </row>
    <row r="55" spans="1:15" x14ac:dyDescent="0.3">
      <c r="A55" s="124"/>
      <c r="B55" s="125" t="s">
        <v>97</v>
      </c>
      <c r="E55" s="126">
        <v>9339</v>
      </c>
      <c r="F55" s="126">
        <v>7277</v>
      </c>
      <c r="G55" s="126">
        <v>6327</v>
      </c>
      <c r="H55" s="126">
        <v>5383</v>
      </c>
      <c r="I55" s="126">
        <v>5360</v>
      </c>
      <c r="J55" s="27">
        <f>I55*0.8</f>
        <v>4288</v>
      </c>
      <c r="K55" s="27">
        <f>J55*1.05</f>
        <v>4502.4000000000005</v>
      </c>
      <c r="L55" s="27">
        <f t="shared" ref="L55:N55" si="21">K55*1.05</f>
        <v>4727.5200000000004</v>
      </c>
      <c r="M55" s="27">
        <f t="shared" si="21"/>
        <v>4963.8960000000006</v>
      </c>
      <c r="N55" s="27">
        <f t="shared" si="21"/>
        <v>5212.0908000000009</v>
      </c>
    </row>
    <row r="56" spans="1:15" x14ac:dyDescent="0.3">
      <c r="A56" s="124"/>
      <c r="B56" s="131" t="s">
        <v>98</v>
      </c>
      <c r="C56" s="97"/>
      <c r="D56" s="97"/>
      <c r="E56" s="128">
        <v>98966</v>
      </c>
      <c r="F56" s="128">
        <v>106324</v>
      </c>
      <c r="G56" s="128">
        <v>111566</v>
      </c>
      <c r="H56" s="128">
        <v>115077</v>
      </c>
      <c r="I56" s="128">
        <v>115390</v>
      </c>
      <c r="J56" s="98">
        <f>SUM(J53:J55)+J50</f>
        <v>95927.1155</v>
      </c>
      <c r="K56" s="98">
        <f t="shared" ref="K56:N56" si="22">SUM(K53:K55)+K50</f>
        <v>98439.787695300009</v>
      </c>
      <c r="L56" s="98">
        <f t="shared" si="22"/>
        <v>101178.09751471225</v>
      </c>
      <c r="M56" s="98">
        <f t="shared" si="22"/>
        <v>104157.80158727212</v>
      </c>
      <c r="N56" s="98">
        <f t="shared" si="22"/>
        <v>107395.8939880262</v>
      </c>
    </row>
    <row r="57" spans="1:15" x14ac:dyDescent="0.3">
      <c r="A57" s="124"/>
      <c r="B57" s="137" t="s">
        <v>99</v>
      </c>
      <c r="C57" s="76"/>
      <c r="D57" s="76"/>
      <c r="E57" s="138">
        <v>231</v>
      </c>
      <c r="F57" s="138">
        <v>384</v>
      </c>
      <c r="G57" s="138">
        <v>1196</v>
      </c>
      <c r="H57" s="139">
        <v>629</v>
      </c>
      <c r="I57" s="138">
        <v>472</v>
      </c>
      <c r="J57" s="102">
        <f>I57</f>
        <v>472</v>
      </c>
      <c r="K57" s="102">
        <f t="shared" ref="K57:N57" si="23">J57</f>
        <v>472</v>
      </c>
      <c r="L57" s="102">
        <f t="shared" si="23"/>
        <v>472</v>
      </c>
      <c r="M57" s="102">
        <f t="shared" si="23"/>
        <v>472</v>
      </c>
      <c r="N57" s="102">
        <f t="shared" si="23"/>
        <v>472</v>
      </c>
    </row>
    <row r="58" spans="1:15" x14ac:dyDescent="0.3">
      <c r="A58" s="124"/>
      <c r="B58" s="137"/>
      <c r="C58" s="76"/>
      <c r="D58" s="76"/>
      <c r="E58" s="137"/>
      <c r="F58" s="137"/>
      <c r="G58" s="140"/>
      <c r="H58" s="141"/>
      <c r="I58" s="137"/>
      <c r="J58" s="76"/>
      <c r="K58" s="76"/>
      <c r="L58" s="76"/>
      <c r="M58" s="76"/>
      <c r="N58" s="76"/>
    </row>
    <row r="59" spans="1:15" x14ac:dyDescent="0.3">
      <c r="A59" s="124"/>
      <c r="B59" s="142" t="s">
        <v>100</v>
      </c>
      <c r="C59" s="103"/>
      <c r="D59" s="103"/>
      <c r="E59" s="143">
        <f>E47/E6</f>
        <v>0.23199922784891577</v>
      </c>
      <c r="F59" s="143">
        <f>F47/F6</f>
        <v>0.2319585020242915</v>
      </c>
      <c r="G59" s="143">
        <f>G47/G6</f>
        <v>0.21201487513931649</v>
      </c>
      <c r="H59" s="143">
        <f>H47/H6</f>
        <v>0.21773335937669552</v>
      </c>
      <c r="I59" s="143">
        <f>I47/I6</f>
        <v>0.23025980641874683</v>
      </c>
      <c r="J59" s="104">
        <f>Assumptions!C20</f>
        <v>0.22500000000000001</v>
      </c>
      <c r="K59" s="104">
        <f>Assumptions!D20</f>
        <v>0.22500000000000001</v>
      </c>
      <c r="L59" s="104">
        <f>Assumptions!E20</f>
        <v>0.22500000000000001</v>
      </c>
      <c r="M59" s="104">
        <f>Assumptions!F20</f>
        <v>0.22500000000000001</v>
      </c>
      <c r="N59" s="105">
        <f>Assumptions!G20</f>
        <v>0.22500000000000001</v>
      </c>
    </row>
    <row r="60" spans="1:15" x14ac:dyDescent="0.3">
      <c r="A60" s="124"/>
      <c r="B60" s="124"/>
      <c r="E60" s="129"/>
      <c r="F60" s="124"/>
      <c r="G60" s="124"/>
      <c r="H60" s="124"/>
      <c r="I60" s="124"/>
    </row>
    <row r="61" spans="1:15" x14ac:dyDescent="0.3">
      <c r="A61" s="124"/>
      <c r="B61" s="124" t="s">
        <v>101</v>
      </c>
      <c r="E61" s="124"/>
      <c r="F61" s="124"/>
      <c r="G61" s="124"/>
      <c r="H61" s="124"/>
      <c r="I61" s="124"/>
    </row>
    <row r="62" spans="1:15" x14ac:dyDescent="0.3">
      <c r="A62" s="124"/>
      <c r="B62" s="125" t="s">
        <v>102</v>
      </c>
      <c r="E62" s="126">
        <v>20199</v>
      </c>
      <c r="F62" s="126">
        <v>19889</v>
      </c>
      <c r="G62" s="126">
        <v>16114</v>
      </c>
      <c r="H62" s="126">
        <v>16091</v>
      </c>
      <c r="I62" s="126">
        <v>16849</v>
      </c>
      <c r="J62" s="27">
        <f t="shared" ref="J62:N63" si="24">I62+J98</f>
        <v>17301</v>
      </c>
      <c r="K62" s="27">
        <f t="shared" si="24"/>
        <v>17753</v>
      </c>
      <c r="L62" s="27">
        <f t="shared" si="24"/>
        <v>18205</v>
      </c>
      <c r="M62" s="27">
        <f t="shared" si="24"/>
        <v>18657</v>
      </c>
      <c r="N62" s="27">
        <f t="shared" si="24"/>
        <v>19109</v>
      </c>
      <c r="O62" s="1" t="s">
        <v>103</v>
      </c>
    </row>
    <row r="63" spans="1:15" x14ac:dyDescent="0.3">
      <c r="A63" s="124"/>
      <c r="B63" s="125" t="s">
        <v>104</v>
      </c>
      <c r="E63" s="126">
        <v>-752</v>
      </c>
      <c r="F63" s="126">
        <v>-1440</v>
      </c>
      <c r="G63" s="126">
        <v>-63</v>
      </c>
      <c r="H63" s="126">
        <v>-65</v>
      </c>
      <c r="I63" s="126">
        <v>-305</v>
      </c>
      <c r="J63" s="27">
        <f t="shared" si="24"/>
        <v>-546</v>
      </c>
      <c r="K63" s="27">
        <f t="shared" si="24"/>
        <v>-787</v>
      </c>
      <c r="L63" s="27">
        <f t="shared" si="24"/>
        <v>-1028</v>
      </c>
      <c r="M63" s="27">
        <f t="shared" si="24"/>
        <v>-1269</v>
      </c>
      <c r="N63" s="27">
        <f t="shared" si="24"/>
        <v>-1510</v>
      </c>
    </row>
    <row r="64" spans="1:15" x14ac:dyDescent="0.3">
      <c r="A64" s="124"/>
      <c r="B64" s="125" t="s">
        <v>105</v>
      </c>
      <c r="E64" s="126">
        <v>-5609</v>
      </c>
      <c r="F64" s="126">
        <v>-6860</v>
      </c>
      <c r="G64" s="126">
        <v>-21349</v>
      </c>
      <c r="H64" s="126">
        <v>-16891</v>
      </c>
      <c r="I64" s="126">
        <v>13751</v>
      </c>
      <c r="J64" s="27">
        <f>I64+J14</f>
        <v>14855.6931346</v>
      </c>
      <c r="K64" s="27">
        <f>J64+K14</f>
        <v>16086.500438228759</v>
      </c>
      <c r="L64" s="27">
        <f>K64+L14</f>
        <v>17452.017829946752</v>
      </c>
      <c r="M64" s="27">
        <f>L64+M14</f>
        <v>18961.487528102945</v>
      </c>
      <c r="N64" s="27">
        <f>M64+N14</f>
        <v>20624.848960360465</v>
      </c>
    </row>
    <row r="65" spans="1:15" x14ac:dyDescent="0.3">
      <c r="A65" s="124"/>
      <c r="B65" s="125" t="s">
        <v>106</v>
      </c>
      <c r="E65" s="126">
        <v>-595</v>
      </c>
      <c r="F65" s="126">
        <v>130</v>
      </c>
      <c r="G65" s="126">
        <v>-467</v>
      </c>
      <c r="H65" s="126">
        <v>-709</v>
      </c>
      <c r="I65" s="126">
        <v>-314</v>
      </c>
      <c r="J65" s="126">
        <v>-314</v>
      </c>
      <c r="K65" s="126">
        <v>-314</v>
      </c>
      <c r="L65" s="126">
        <v>-314</v>
      </c>
      <c r="M65" s="126">
        <v>-314</v>
      </c>
      <c r="N65" s="126">
        <v>-314</v>
      </c>
      <c r="O65" s="1" t="s">
        <v>107</v>
      </c>
    </row>
    <row r="66" spans="1:15" x14ac:dyDescent="0.3">
      <c r="A66" s="124"/>
      <c r="B66" s="144" t="s">
        <v>108</v>
      </c>
      <c r="C66" s="106"/>
      <c r="D66" s="106"/>
      <c r="E66" s="145">
        <v>13243</v>
      </c>
      <c r="F66" s="145">
        <v>11719</v>
      </c>
      <c r="G66" s="145">
        <v>-5765</v>
      </c>
      <c r="H66" s="145">
        <v>-1574</v>
      </c>
      <c r="I66" s="145">
        <v>2479</v>
      </c>
      <c r="J66" s="107">
        <f>SUM(J62:J65)</f>
        <v>31296.693134599998</v>
      </c>
      <c r="K66" s="107">
        <f t="shared" ref="K66:N66" si="25">SUM(K62:K65)</f>
        <v>32738.500438228759</v>
      </c>
      <c r="L66" s="107">
        <f t="shared" si="25"/>
        <v>34315.017829946752</v>
      </c>
      <c r="M66" s="107">
        <f t="shared" si="25"/>
        <v>36035.487528102945</v>
      </c>
      <c r="N66" s="107">
        <f t="shared" si="25"/>
        <v>37909.848960360468</v>
      </c>
    </row>
    <row r="67" spans="1:15" x14ac:dyDescent="0.3">
      <c r="A67" s="124"/>
      <c r="B67" s="125" t="s">
        <v>109</v>
      </c>
      <c r="E67" s="126">
        <v>5766</v>
      </c>
      <c r="F67" s="126">
        <v>5766</v>
      </c>
      <c r="G67" s="126">
        <v>4823</v>
      </c>
      <c r="H67" s="126">
        <v>4729</v>
      </c>
      <c r="I67" s="126">
        <v>5074</v>
      </c>
      <c r="J67" s="27">
        <f>I67</f>
        <v>5074</v>
      </c>
      <c r="K67" s="27">
        <f t="shared" ref="K67:N67" si="26">J67</f>
        <v>5074</v>
      </c>
      <c r="L67" s="27">
        <f t="shared" si="26"/>
        <v>5074</v>
      </c>
      <c r="M67" s="27">
        <f t="shared" si="26"/>
        <v>5074</v>
      </c>
      <c r="N67" s="27">
        <f t="shared" si="26"/>
        <v>5074</v>
      </c>
      <c r="O67" s="1" t="s">
        <v>107</v>
      </c>
    </row>
    <row r="68" spans="1:15" x14ac:dyDescent="0.3">
      <c r="A68" s="124"/>
      <c r="B68" s="144" t="s">
        <v>110</v>
      </c>
      <c r="C68" s="106"/>
      <c r="D68" s="106"/>
      <c r="E68" s="145">
        <v>19009</v>
      </c>
      <c r="F68" s="145">
        <v>17485</v>
      </c>
      <c r="G68" s="145">
        <v>-942</v>
      </c>
      <c r="H68" s="145">
        <v>3155</v>
      </c>
      <c r="I68" s="145">
        <v>7553</v>
      </c>
      <c r="J68" s="107">
        <f>J66+J67</f>
        <v>36370.693134599998</v>
      </c>
      <c r="K68" s="107">
        <f t="shared" ref="K68:N68" si="27">K66+K67</f>
        <v>37812.500438228759</v>
      </c>
      <c r="L68" s="107">
        <f t="shared" si="27"/>
        <v>39389.017829946752</v>
      </c>
      <c r="M68" s="107">
        <f t="shared" si="27"/>
        <v>41109.487528102945</v>
      </c>
      <c r="N68" s="107">
        <f t="shared" si="27"/>
        <v>42983.848960360468</v>
      </c>
    </row>
    <row r="69" spans="1:15" x14ac:dyDescent="0.3">
      <c r="A69" s="124"/>
      <c r="B69" s="124"/>
      <c r="E69" s="126"/>
      <c r="F69" s="126"/>
      <c r="G69" s="126"/>
      <c r="H69" s="126"/>
      <c r="I69" s="126"/>
      <c r="J69" s="27"/>
      <c r="K69" s="27"/>
      <c r="L69" s="27"/>
      <c r="M69" s="27"/>
      <c r="N69" s="27"/>
    </row>
    <row r="70" spans="1:15" x14ac:dyDescent="0.3">
      <c r="A70" s="124"/>
      <c r="B70" s="144" t="s">
        <v>111</v>
      </c>
      <c r="C70" s="106"/>
      <c r="D70" s="106"/>
      <c r="E70" s="145">
        <v>118206</v>
      </c>
      <c r="F70" s="145">
        <v>124193</v>
      </c>
      <c r="G70" s="145">
        <v>111820</v>
      </c>
      <c r="H70" s="145">
        <v>118861</v>
      </c>
      <c r="I70" s="145">
        <v>123415</v>
      </c>
      <c r="J70" s="333">
        <f>J68+J56+J57</f>
        <v>132769.80863459999</v>
      </c>
      <c r="K70" s="107">
        <f>K68+K56+K57</f>
        <v>136724.28813352878</v>
      </c>
      <c r="L70" s="107">
        <f>L68+L56+L57</f>
        <v>141039.11534465902</v>
      </c>
      <c r="M70" s="107">
        <f>M68+M56+M57</f>
        <v>145739.28911537505</v>
      </c>
      <c r="N70" s="107">
        <f>N68+N56+N57</f>
        <v>150851.74294838667</v>
      </c>
    </row>
    <row r="71" spans="1:15" x14ac:dyDescent="0.3">
      <c r="E71" s="31"/>
    </row>
    <row r="72" spans="1:15" x14ac:dyDescent="0.3">
      <c r="B72" s="108" t="s">
        <v>112</v>
      </c>
      <c r="C72" s="19"/>
      <c r="D72" s="20"/>
      <c r="E72" s="335">
        <f>E40-E70</f>
        <v>0</v>
      </c>
      <c r="F72" s="335">
        <f t="shared" ref="F72:N72" si="28">F40-F70</f>
        <v>0</v>
      </c>
      <c r="G72" s="335">
        <f t="shared" si="28"/>
        <v>0</v>
      </c>
      <c r="H72" s="335">
        <f t="shared" si="28"/>
        <v>0</v>
      </c>
      <c r="I72" s="335">
        <f t="shared" si="28"/>
        <v>0</v>
      </c>
      <c r="J72" s="335">
        <f t="shared" si="28"/>
        <v>2.8804000176023692E-3</v>
      </c>
      <c r="K72" s="335">
        <f t="shared" si="28"/>
        <v>-4.1491980664432049E-4</v>
      </c>
      <c r="L72" s="335">
        <f t="shared" si="28"/>
        <v>-4.2751258006319404E-3</v>
      </c>
      <c r="M72" s="335">
        <f t="shared" si="28"/>
        <v>3.7174243188928813E-3</v>
      </c>
      <c r="N72" s="336">
        <f t="shared" si="28"/>
        <v>-8.95746547030285E-4</v>
      </c>
    </row>
    <row r="74" spans="1:15" x14ac:dyDescent="0.3">
      <c r="B74" s="79" t="s">
        <v>113</v>
      </c>
      <c r="C74" s="79"/>
      <c r="D74" s="79"/>
      <c r="E74" s="79" t="s">
        <v>47</v>
      </c>
      <c r="F74" s="79" t="s">
        <v>48</v>
      </c>
      <c r="G74" s="79" t="s">
        <v>49</v>
      </c>
      <c r="H74" s="79" t="s">
        <v>50</v>
      </c>
      <c r="I74" s="79" t="s">
        <v>51</v>
      </c>
      <c r="J74" s="79" t="s">
        <v>52</v>
      </c>
      <c r="K74" s="79" t="s">
        <v>53</v>
      </c>
      <c r="L74" s="79" t="s">
        <v>25</v>
      </c>
      <c r="M74" s="79" t="s">
        <v>26</v>
      </c>
      <c r="N74" s="79" t="s">
        <v>27</v>
      </c>
    </row>
    <row r="75" spans="1:15" x14ac:dyDescent="0.3">
      <c r="B75" s="80" t="s">
        <v>114</v>
      </c>
    </row>
    <row r="76" spans="1:15" x14ac:dyDescent="0.3">
      <c r="B76" s="1" t="s">
        <v>64</v>
      </c>
      <c r="E76" s="27">
        <f t="shared" ref="E76:N76" si="29">E14</f>
        <v>-3074</v>
      </c>
      <c r="F76" s="27">
        <f t="shared" si="29"/>
        <v>-2926</v>
      </c>
      <c r="G76" s="27">
        <f t="shared" si="29"/>
        <v>-2181</v>
      </c>
      <c r="H76" s="27">
        <f t="shared" si="29"/>
        <v>5529</v>
      </c>
      <c r="I76" s="27">
        <f t="shared" si="29"/>
        <v>3505</v>
      </c>
      <c r="J76" s="27">
        <f t="shared" si="29"/>
        <v>1104.6931345999999</v>
      </c>
      <c r="K76" s="27">
        <f t="shared" si="29"/>
        <v>1230.8073036287597</v>
      </c>
      <c r="L76" s="27">
        <f t="shared" si="29"/>
        <v>1365.5173917179918</v>
      </c>
      <c r="M76" s="27">
        <f t="shared" si="29"/>
        <v>1509.4696981561945</v>
      </c>
      <c r="N76" s="27">
        <f t="shared" si="29"/>
        <v>1663.3614322575202</v>
      </c>
    </row>
    <row r="77" spans="1:15" x14ac:dyDescent="0.3">
      <c r="B77" s="1" t="s">
        <v>58</v>
      </c>
      <c r="E77" s="27">
        <f t="shared" ref="E77:N77" si="30">-E9</f>
        <v>4840</v>
      </c>
      <c r="F77" s="27">
        <f t="shared" si="30"/>
        <v>8634</v>
      </c>
      <c r="G77" s="27">
        <f t="shared" si="30"/>
        <v>7746</v>
      </c>
      <c r="H77" s="27">
        <f t="shared" si="30"/>
        <v>6143</v>
      </c>
      <c r="I77" s="27">
        <f t="shared" si="30"/>
        <v>5390</v>
      </c>
      <c r="J77" s="27">
        <f t="shared" si="30"/>
        <v>3481.6311999999998</v>
      </c>
      <c r="K77" s="27">
        <f t="shared" si="30"/>
        <v>3675.1320347200003</v>
      </c>
      <c r="L77" s="27">
        <f t="shared" si="30"/>
        <v>3881.8218515043991</v>
      </c>
      <c r="M77" s="27">
        <f t="shared" si="30"/>
        <v>4102.6922871594861</v>
      </c>
      <c r="N77" s="27">
        <f t="shared" si="30"/>
        <v>4338.8130913042132</v>
      </c>
    </row>
    <row r="78" spans="1:15" x14ac:dyDescent="0.3">
      <c r="B78" s="1" t="s">
        <v>115</v>
      </c>
      <c r="E78" s="27">
        <v>398</v>
      </c>
      <c r="F78" s="27">
        <v>835</v>
      </c>
      <c r="G78" s="27">
        <v>918</v>
      </c>
      <c r="H78" s="27">
        <v>1262</v>
      </c>
      <c r="I78" s="27">
        <v>1609</v>
      </c>
      <c r="J78" s="27">
        <f>J84*J6</f>
        <v>1044.48936</v>
      </c>
      <c r="K78" s="27">
        <f>K84*K6</f>
        <v>1102.5396104160002</v>
      </c>
      <c r="L78" s="27">
        <f>L84*L6</f>
        <v>1164.5465554513198</v>
      </c>
      <c r="M78" s="27">
        <f>M84*M6</f>
        <v>1230.8076861478457</v>
      </c>
      <c r="N78" s="27">
        <f>N84*N6</f>
        <v>1301.643927391264</v>
      </c>
    </row>
    <row r="79" spans="1:15" x14ac:dyDescent="0.3">
      <c r="B79" s="1" t="s">
        <v>116</v>
      </c>
      <c r="E79" s="27">
        <v>-2052</v>
      </c>
      <c r="F79" s="27">
        <v>-2605</v>
      </c>
      <c r="G79" s="27">
        <v>-1331</v>
      </c>
      <c r="H79" s="27">
        <v>-6339</v>
      </c>
      <c r="I79" s="27">
        <v>-399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</row>
    <row r="80" spans="1:15" x14ac:dyDescent="0.3">
      <c r="B80" s="146" t="s">
        <v>117</v>
      </c>
      <c r="E80" s="27">
        <v>1191</v>
      </c>
      <c r="F80" s="27">
        <v>1564</v>
      </c>
      <c r="G80" s="27">
        <v>1083</v>
      </c>
      <c r="H80" s="27">
        <v>1758</v>
      </c>
      <c r="I80" s="27">
        <v>1390</v>
      </c>
      <c r="J80" s="27">
        <f>(SUM(J25:J28)-SUM(J47))-(SUM(I25:I28)-SUM(I47))</f>
        <v>3106.3241199999939</v>
      </c>
      <c r="K80" s="27">
        <f>(SUM(K25:K28)-SUM(K47))-(SUM(J25:J28)-SUM(J47))</f>
        <v>-222.52595992799979</v>
      </c>
      <c r="L80" s="27">
        <f>(SUM(L25:L28)-SUM(L47))-(SUM(K25:K28)-SUM(K47))</f>
        <v>-237.69328930206029</v>
      </c>
      <c r="M80" s="27">
        <f>(SUM(M25:M28)-SUM(M47))-(SUM(L25:L28)-SUM(L47))</f>
        <v>-254.00100100334748</v>
      </c>
      <c r="N80" s="27">
        <f>(SUM(N25:N28)-SUM(N47))-(SUM(M25:M28)-SUM(M47))</f>
        <v>-271.53892476643159</v>
      </c>
    </row>
    <row r="81" spans="2:14" x14ac:dyDescent="0.3">
      <c r="B81" s="4" t="s">
        <v>118</v>
      </c>
      <c r="C81" s="4"/>
      <c r="D81" s="4"/>
      <c r="E81" s="109">
        <v>1064</v>
      </c>
      <c r="F81" s="109">
        <v>1341</v>
      </c>
      <c r="G81" s="109">
        <v>756</v>
      </c>
      <c r="H81" s="109">
        <v>938</v>
      </c>
      <c r="I81" s="109">
        <v>-88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</row>
    <row r="82" spans="2:14" x14ac:dyDescent="0.3">
      <c r="B82" s="80" t="s">
        <v>114</v>
      </c>
      <c r="C82" s="80"/>
      <c r="D82" s="80"/>
      <c r="E82" s="39">
        <f t="shared" ref="E82:N82" si="31">SUM(E76:E81)</f>
        <v>2367</v>
      </c>
      <c r="F82" s="39">
        <f t="shared" si="31"/>
        <v>6843</v>
      </c>
      <c r="G82" s="39">
        <f t="shared" si="31"/>
        <v>6991</v>
      </c>
      <c r="H82" s="39">
        <f t="shared" si="31"/>
        <v>9291</v>
      </c>
      <c r="I82" s="39">
        <f t="shared" si="31"/>
        <v>11407</v>
      </c>
      <c r="J82" s="110">
        <f t="shared" si="31"/>
        <v>8737.1378145999934</v>
      </c>
      <c r="K82" s="110">
        <f t="shared" si="31"/>
        <v>5785.9529888367606</v>
      </c>
      <c r="L82" s="110">
        <f t="shared" si="31"/>
        <v>6174.1925093716509</v>
      </c>
      <c r="M82" s="110">
        <f t="shared" si="31"/>
        <v>6588.9686704601791</v>
      </c>
      <c r="N82" s="110">
        <f t="shared" si="31"/>
        <v>7032.2795261865658</v>
      </c>
    </row>
    <row r="83" spans="2:14" x14ac:dyDescent="0.3">
      <c r="B83" s="80"/>
    </row>
    <row r="84" spans="2:14" x14ac:dyDescent="0.3">
      <c r="B84" s="118" t="s">
        <v>34</v>
      </c>
      <c r="C84" s="19"/>
      <c r="D84" s="19"/>
      <c r="E84" s="111">
        <f>E78/E6</f>
        <v>6.4024194067305836E-3</v>
      </c>
      <c r="F84" s="111">
        <f>F78/F6</f>
        <v>1.056427125506073E-2</v>
      </c>
      <c r="G84" s="111">
        <f>G78/G6</f>
        <v>1.0130102294170225E-2</v>
      </c>
      <c r="H84" s="111">
        <f>H78/H6</f>
        <v>1.3694467955813095E-2</v>
      </c>
      <c r="I84" s="111">
        <f>I78/I6</f>
        <v>1.7076328748514179E-2</v>
      </c>
      <c r="J84" s="111">
        <f>Assumptions!C21</f>
        <v>1.2E-2</v>
      </c>
      <c r="K84" s="111">
        <f>Assumptions!D21</f>
        <v>1.2E-2</v>
      </c>
      <c r="L84" s="111">
        <f>Assumptions!E21</f>
        <v>1.2E-2</v>
      </c>
      <c r="M84" s="111">
        <f>Assumptions!F21</f>
        <v>1.2E-2</v>
      </c>
      <c r="N84" s="112">
        <f>Assumptions!G21</f>
        <v>1.2E-2</v>
      </c>
    </row>
    <row r="85" spans="2:14" x14ac:dyDescent="0.3">
      <c r="B85" s="80"/>
    </row>
    <row r="86" spans="2:14" x14ac:dyDescent="0.3">
      <c r="B86" s="80" t="s">
        <v>119</v>
      </c>
    </row>
    <row r="87" spans="2:14" x14ac:dyDescent="0.3">
      <c r="B87" s="1" t="s">
        <v>120</v>
      </c>
      <c r="E87" s="27">
        <v>-778</v>
      </c>
      <c r="F87" s="27">
        <v>-4389</v>
      </c>
      <c r="G87" s="27">
        <v>-925</v>
      </c>
      <c r="H87" s="27">
        <v>-181</v>
      </c>
      <c r="I87" s="27">
        <v>-338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</row>
    <row r="88" spans="2:14" x14ac:dyDescent="0.3">
      <c r="B88" s="1" t="s">
        <v>121</v>
      </c>
      <c r="E88" s="27">
        <v>1173</v>
      </c>
      <c r="F88" s="27">
        <v>3878</v>
      </c>
      <c r="G88" s="27">
        <v>6612</v>
      </c>
      <c r="H88" s="27">
        <v>497</v>
      </c>
      <c r="I88" s="27">
        <v>169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</row>
    <row r="89" spans="2:14" x14ac:dyDescent="0.3">
      <c r="B89" s="1" t="s">
        <v>122</v>
      </c>
      <c r="E89" s="27">
        <f>-699-207</f>
        <v>-906</v>
      </c>
      <c r="F89" s="27">
        <f>-1212-369</f>
        <v>-1581</v>
      </c>
      <c r="G89" s="27">
        <v>-1497</v>
      </c>
      <c r="H89" s="27">
        <v>-2576</v>
      </c>
      <c r="I89" s="27">
        <v>-2082</v>
      </c>
      <c r="J89" s="27">
        <f>-J114</f>
        <v>-1740.8155999999999</v>
      </c>
      <c r="K89" s="27">
        <f t="shared" ref="K89:N89" si="32">-K114</f>
        <v>-1837.5660173600002</v>
      </c>
      <c r="L89" s="27">
        <f t="shared" si="32"/>
        <v>-1940.9109257521995</v>
      </c>
      <c r="M89" s="27">
        <f t="shared" si="32"/>
        <v>-2051.3461435797431</v>
      </c>
      <c r="N89" s="27">
        <f t="shared" si="32"/>
        <v>-2169.4065456521066</v>
      </c>
    </row>
    <row r="90" spans="2:14" x14ac:dyDescent="0.3">
      <c r="B90" s="1" t="s">
        <v>123</v>
      </c>
      <c r="E90" s="27">
        <v>-37609</v>
      </c>
      <c r="F90" s="27">
        <f>-658-96</f>
        <v>-754</v>
      </c>
      <c r="G90" s="27">
        <v>-971</v>
      </c>
      <c r="H90" s="27">
        <v>-2463</v>
      </c>
      <c r="I90" s="27">
        <v>-424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</row>
    <row r="91" spans="2:14" x14ac:dyDescent="0.3">
      <c r="B91" s="1" t="s">
        <v>124</v>
      </c>
      <c r="E91" s="27">
        <v>6873</v>
      </c>
      <c r="F91" s="27">
        <f>-59</f>
        <v>-59</v>
      </c>
      <c r="G91" s="27">
        <v>130</v>
      </c>
      <c r="H91" s="27">
        <v>-3</v>
      </c>
      <c r="I91" s="27">
        <v>2187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</row>
    <row r="92" spans="2:14" x14ac:dyDescent="0.3">
      <c r="B92" s="1" t="s">
        <v>125</v>
      </c>
      <c r="E92" s="27">
        <f>24+35-48</f>
        <v>11</v>
      </c>
      <c r="F92" s="27">
        <v>30</v>
      </c>
      <c r="G92" s="27">
        <v>40</v>
      </c>
      <c r="H92" s="27">
        <v>40</v>
      </c>
      <c r="I92" s="27">
        <v>28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</row>
    <row r="93" spans="2:14" x14ac:dyDescent="0.3">
      <c r="B93" s="82" t="s">
        <v>119</v>
      </c>
      <c r="C93" s="83"/>
      <c r="D93" s="83"/>
      <c r="E93" s="113">
        <f>SUM(E87:E92)</f>
        <v>-31236</v>
      </c>
      <c r="F93" s="113">
        <f t="shared" ref="F93:I93" si="33">SUM(F87:F92)</f>
        <v>-2875</v>
      </c>
      <c r="G93" s="113">
        <f t="shared" si="33"/>
        <v>3389</v>
      </c>
      <c r="H93" s="113">
        <f t="shared" si="33"/>
        <v>-4686</v>
      </c>
      <c r="I93" s="113">
        <f t="shared" si="33"/>
        <v>-460</v>
      </c>
      <c r="J93" s="113">
        <f>SUM(J87:J92)</f>
        <v>-1740.8155999999999</v>
      </c>
      <c r="K93" s="113">
        <f t="shared" ref="K93:N93" si="34">SUM(K87:K92)</f>
        <v>-1837.5660173600002</v>
      </c>
      <c r="L93" s="113">
        <f t="shared" si="34"/>
        <v>-1940.9109257521995</v>
      </c>
      <c r="M93" s="113">
        <f t="shared" si="34"/>
        <v>-2051.3461435797431</v>
      </c>
      <c r="N93" s="113">
        <f t="shared" si="34"/>
        <v>-2169.4065456521066</v>
      </c>
    </row>
    <row r="95" spans="2:14" x14ac:dyDescent="0.3">
      <c r="B95" s="80" t="s">
        <v>126</v>
      </c>
    </row>
    <row r="96" spans="2:14" x14ac:dyDescent="0.3">
      <c r="B96" s="1" t="s">
        <v>127</v>
      </c>
      <c r="E96" s="114" t="str">
        <f>"-"</f>
        <v>-</v>
      </c>
      <c r="F96" s="114" t="str">
        <f>"-"</f>
        <v>-</v>
      </c>
      <c r="G96" s="27">
        <v>-2134</v>
      </c>
      <c r="H96" s="114" t="s">
        <v>128</v>
      </c>
      <c r="I96" s="114" t="str">
        <f t="shared" ref="G96:I97" si="35">"-"</f>
        <v>-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</row>
    <row r="97" spans="2:15" x14ac:dyDescent="0.3">
      <c r="B97" s="1" t="s">
        <v>129</v>
      </c>
      <c r="E97" s="27">
        <v>4422</v>
      </c>
      <c r="F97" s="114" t="s">
        <v>128</v>
      </c>
      <c r="G97" s="114" t="str">
        <f t="shared" si="35"/>
        <v>-</v>
      </c>
      <c r="H97" s="114" t="str">
        <f t="shared" si="35"/>
        <v>-</v>
      </c>
      <c r="I97" s="114" t="str">
        <f t="shared" si="35"/>
        <v>-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</row>
    <row r="98" spans="2:15" x14ac:dyDescent="0.3">
      <c r="B98" s="1" t="s">
        <v>130</v>
      </c>
      <c r="E98" s="27">
        <v>164</v>
      </c>
      <c r="F98" s="27">
        <v>131</v>
      </c>
      <c r="G98" s="27">
        <v>805</v>
      </c>
      <c r="H98" s="27">
        <v>658</v>
      </c>
      <c r="I98" s="27">
        <v>452</v>
      </c>
      <c r="J98" s="27">
        <f>I98</f>
        <v>452</v>
      </c>
      <c r="K98" s="27">
        <f>J98</f>
        <v>452</v>
      </c>
      <c r="L98" s="27">
        <f>K98</f>
        <v>452</v>
      </c>
      <c r="M98" s="27">
        <f>L98</f>
        <v>452</v>
      </c>
      <c r="N98" s="27">
        <f>M98</f>
        <v>452</v>
      </c>
      <c r="O98" s="1" t="s">
        <v>131</v>
      </c>
    </row>
    <row r="99" spans="2:15" x14ac:dyDescent="0.3">
      <c r="B99" s="1" t="s">
        <v>132</v>
      </c>
      <c r="E99" s="27">
        <v>-701</v>
      </c>
      <c r="F99" s="27">
        <v>-723</v>
      </c>
      <c r="G99" s="27">
        <v>-14075</v>
      </c>
      <c r="H99" s="27">
        <v>-8</v>
      </c>
      <c r="I99" s="27">
        <v>-241</v>
      </c>
      <c r="J99" s="27">
        <f>I99</f>
        <v>-241</v>
      </c>
      <c r="K99" s="27">
        <f t="shared" ref="K99:N99" si="36">J99</f>
        <v>-241</v>
      </c>
      <c r="L99" s="27">
        <f t="shared" si="36"/>
        <v>-241</v>
      </c>
      <c r="M99" s="27">
        <f t="shared" si="36"/>
        <v>-241</v>
      </c>
      <c r="N99" s="27">
        <f t="shared" si="36"/>
        <v>-241</v>
      </c>
      <c r="O99" s="1" t="s">
        <v>131</v>
      </c>
    </row>
    <row r="100" spans="2:15" x14ac:dyDescent="0.3">
      <c r="B100" s="1" t="s">
        <v>133</v>
      </c>
      <c r="E100" s="27">
        <v>-611</v>
      </c>
      <c r="F100" s="27">
        <v>-724</v>
      </c>
      <c r="G100" s="27">
        <v>-415</v>
      </c>
      <c r="H100" s="27">
        <v>-3547</v>
      </c>
      <c r="I100" s="27">
        <v>-1363</v>
      </c>
      <c r="J100" s="27">
        <f>I100</f>
        <v>-1363</v>
      </c>
      <c r="K100" s="27">
        <f>J100</f>
        <v>-1363</v>
      </c>
      <c r="L100" s="27">
        <f>K100</f>
        <v>-1363</v>
      </c>
      <c r="M100" s="27">
        <f>L100</f>
        <v>-1363</v>
      </c>
      <c r="N100" s="27">
        <f>M100</f>
        <v>-1363</v>
      </c>
      <c r="O100" s="1" t="s">
        <v>131</v>
      </c>
    </row>
    <row r="101" spans="2:15" x14ac:dyDescent="0.3">
      <c r="B101" s="1" t="s">
        <v>134</v>
      </c>
      <c r="E101" s="27">
        <v>46857</v>
      </c>
      <c r="F101" s="27">
        <v>14415</v>
      </c>
      <c r="G101" s="27">
        <v>13045</v>
      </c>
      <c r="H101" s="27">
        <v>20481</v>
      </c>
      <c r="I101" s="27">
        <v>16391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1" t="s">
        <v>135</v>
      </c>
    </row>
    <row r="102" spans="2:15" x14ac:dyDescent="0.3">
      <c r="B102" s="1" t="s">
        <v>136</v>
      </c>
      <c r="E102" s="27">
        <v>-16960</v>
      </c>
      <c r="F102" s="27">
        <v>-12258</v>
      </c>
      <c r="G102" s="27">
        <v>-11451</v>
      </c>
      <c r="H102" s="27">
        <v>-22117</v>
      </c>
      <c r="I102" s="27">
        <v>-20919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1" t="s">
        <v>135</v>
      </c>
    </row>
    <row r="103" spans="2:15" x14ac:dyDescent="0.3">
      <c r="B103" s="1" t="s">
        <v>125</v>
      </c>
      <c r="E103" s="27">
        <v>-1386</v>
      </c>
      <c r="F103" s="27">
        <v>-438</v>
      </c>
      <c r="G103" s="27">
        <v>-104</v>
      </c>
      <c r="H103" s="27">
        <v>-71</v>
      </c>
      <c r="I103" s="27">
        <v>-270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</row>
    <row r="104" spans="2:15" x14ac:dyDescent="0.3">
      <c r="B104" s="82" t="s">
        <v>126</v>
      </c>
      <c r="C104" s="83"/>
      <c r="D104" s="83"/>
      <c r="E104" s="113">
        <f>SUM(E96:E103)</f>
        <v>31785</v>
      </c>
      <c r="F104" s="113">
        <f t="shared" ref="F104:I104" si="37">SUM(F96:F103)</f>
        <v>403</v>
      </c>
      <c r="G104" s="113">
        <f t="shared" si="37"/>
        <v>-14329</v>
      </c>
      <c r="H104" s="113">
        <f t="shared" si="37"/>
        <v>-4604</v>
      </c>
      <c r="I104" s="113">
        <f t="shared" si="37"/>
        <v>-5950</v>
      </c>
      <c r="J104" s="113">
        <f>SUM(J96:J103)</f>
        <v>-1152</v>
      </c>
      <c r="K104" s="113">
        <f t="shared" ref="K104:N104" si="38">SUM(K96:K103)</f>
        <v>-1152</v>
      </c>
      <c r="L104" s="113">
        <f t="shared" si="38"/>
        <v>-1152</v>
      </c>
      <c r="M104" s="113">
        <f t="shared" si="38"/>
        <v>-1152</v>
      </c>
      <c r="N104" s="113">
        <f t="shared" si="38"/>
        <v>-1152</v>
      </c>
    </row>
    <row r="106" spans="2:15" x14ac:dyDescent="0.3">
      <c r="B106" s="118" t="s">
        <v>137</v>
      </c>
      <c r="C106" s="19"/>
      <c r="D106" s="20"/>
      <c r="E106" s="115">
        <v>24</v>
      </c>
      <c r="F106" s="115">
        <v>175</v>
      </c>
      <c r="G106" s="115">
        <v>-189</v>
      </c>
      <c r="H106" s="115">
        <v>-90</v>
      </c>
      <c r="I106" s="115">
        <v>36</v>
      </c>
      <c r="J106" s="115">
        <v>0</v>
      </c>
      <c r="K106" s="115">
        <v>0</v>
      </c>
      <c r="L106" s="115">
        <v>0</v>
      </c>
      <c r="M106" s="115">
        <v>0</v>
      </c>
      <c r="N106" s="116">
        <v>0</v>
      </c>
    </row>
    <row r="107" spans="2:15" x14ac:dyDescent="0.3">
      <c r="E107" s="27"/>
      <c r="F107" s="27"/>
      <c r="G107" s="27"/>
      <c r="H107" s="27"/>
      <c r="I107" s="27"/>
      <c r="J107" s="27"/>
      <c r="K107" s="27"/>
      <c r="L107" s="27"/>
      <c r="M107" s="27"/>
      <c r="N107" s="27"/>
    </row>
    <row r="108" spans="2:15" x14ac:dyDescent="0.3">
      <c r="B108" s="117" t="s">
        <v>138</v>
      </c>
      <c r="C108" s="19"/>
      <c r="D108" s="20"/>
      <c r="E108" s="115">
        <f t="shared" ref="E108:N108" si="39">E82+E93+E104+E106</f>
        <v>2940</v>
      </c>
      <c r="F108" s="115">
        <f t="shared" si="39"/>
        <v>4546</v>
      </c>
      <c r="G108" s="115">
        <f t="shared" si="39"/>
        <v>-4138</v>
      </c>
      <c r="H108" s="115">
        <f t="shared" si="39"/>
        <v>-89</v>
      </c>
      <c r="I108" s="115">
        <f t="shared" si="39"/>
        <v>5033</v>
      </c>
      <c r="J108" s="115">
        <f>J82+J93+J104+J106</f>
        <v>5844.3222145999935</v>
      </c>
      <c r="K108" s="115">
        <f t="shared" si="39"/>
        <v>2796.3869714767607</v>
      </c>
      <c r="L108" s="115">
        <f t="shared" si="39"/>
        <v>3081.2815836194513</v>
      </c>
      <c r="M108" s="115">
        <f t="shared" si="39"/>
        <v>3385.6225268804355</v>
      </c>
      <c r="N108" s="116">
        <f t="shared" si="39"/>
        <v>3710.8729805344592</v>
      </c>
    </row>
    <row r="109" spans="2:15" x14ac:dyDescent="0.3">
      <c r="B109" s="118" t="s">
        <v>139</v>
      </c>
      <c r="C109" s="19"/>
      <c r="D109" s="20"/>
      <c r="E109" s="115"/>
      <c r="F109" s="115"/>
      <c r="G109" s="115"/>
      <c r="H109" s="115"/>
      <c r="I109" s="115"/>
      <c r="J109" s="115">
        <f>I24</f>
        <v>14201</v>
      </c>
      <c r="K109" s="115">
        <f>J24</f>
        <v>20045.322214599993</v>
      </c>
      <c r="L109" s="115">
        <f>K24</f>
        <v>22841.709186076754</v>
      </c>
      <c r="M109" s="115">
        <f>L24</f>
        <v>25922.990769696204</v>
      </c>
      <c r="N109" s="116">
        <f>M24</f>
        <v>29308.613296576637</v>
      </c>
    </row>
    <row r="110" spans="2:15" x14ac:dyDescent="0.3">
      <c r="B110" s="119" t="s">
        <v>140</v>
      </c>
      <c r="C110" s="4"/>
      <c r="D110" s="52"/>
      <c r="E110" s="109"/>
      <c r="F110" s="109"/>
      <c r="G110" s="109"/>
      <c r="H110" s="109"/>
      <c r="I110" s="109"/>
      <c r="J110" s="109">
        <f>J109+J108</f>
        <v>20045.322214599993</v>
      </c>
      <c r="K110" s="109">
        <f t="shared" ref="K110:N110" si="40">K109+K108</f>
        <v>22841.709186076754</v>
      </c>
      <c r="L110" s="109">
        <f t="shared" si="40"/>
        <v>25922.990769696204</v>
      </c>
      <c r="M110" s="109">
        <f t="shared" si="40"/>
        <v>29308.613296576637</v>
      </c>
      <c r="N110" s="43">
        <f t="shared" si="40"/>
        <v>33019.486277111093</v>
      </c>
    </row>
    <row r="112" spans="2:15" x14ac:dyDescent="0.3">
      <c r="B112" s="79" t="s">
        <v>141</v>
      </c>
      <c r="C112" s="79"/>
      <c r="D112" s="79"/>
      <c r="E112" s="79" t="s">
        <v>47</v>
      </c>
      <c r="F112" s="79" t="s">
        <v>48</v>
      </c>
      <c r="G112" s="79" t="s">
        <v>49</v>
      </c>
      <c r="H112" s="79" t="s">
        <v>50</v>
      </c>
      <c r="I112" s="79" t="s">
        <v>51</v>
      </c>
      <c r="J112" s="79" t="s">
        <v>52</v>
      </c>
      <c r="K112" s="79" t="s">
        <v>53</v>
      </c>
      <c r="L112" s="79" t="s">
        <v>25</v>
      </c>
      <c r="M112" s="79" t="s">
        <v>26</v>
      </c>
      <c r="N112" s="79" t="s">
        <v>27</v>
      </c>
    </row>
    <row r="113" spans="2:15" x14ac:dyDescent="0.3">
      <c r="B113" s="1" t="s">
        <v>142</v>
      </c>
      <c r="E113" s="27">
        <v>1907</v>
      </c>
      <c r="F113" s="27">
        <f>E118</f>
        <v>5653</v>
      </c>
      <c r="G113" s="27">
        <f t="shared" ref="G113:H113" si="41">F118</f>
        <v>5390</v>
      </c>
      <c r="H113" s="27">
        <f t="shared" si="41"/>
        <v>5259</v>
      </c>
      <c r="I113" s="27">
        <f>H118</f>
        <v>6055</v>
      </c>
      <c r="J113" s="27">
        <f t="shared" ref="J113:N113" si="42">I118</f>
        <v>6431</v>
      </c>
      <c r="K113" s="27">
        <f t="shared" si="42"/>
        <v>6707.7896804000002</v>
      </c>
      <c r="L113" s="27">
        <f t="shared" si="42"/>
        <v>6999.9626771602398</v>
      </c>
      <c r="M113" s="27">
        <f t="shared" si="42"/>
        <v>7308.5675143548397</v>
      </c>
      <c r="N113" s="27">
        <f t="shared" si="42"/>
        <v>7634.7315511840188</v>
      </c>
    </row>
    <row r="114" spans="2:15" x14ac:dyDescent="0.3">
      <c r="B114" s="1" t="s">
        <v>122</v>
      </c>
      <c r="E114" s="27">
        <f>-E89</f>
        <v>906</v>
      </c>
      <c r="F114" s="27">
        <f>-F89</f>
        <v>1581</v>
      </c>
      <c r="G114" s="27">
        <f>-G89</f>
        <v>1497</v>
      </c>
      <c r="H114" s="27">
        <f>-H89</f>
        <v>2576</v>
      </c>
      <c r="I114" s="27">
        <f>-I89</f>
        <v>2082</v>
      </c>
      <c r="J114" s="27">
        <f>J120*J6</f>
        <v>1740.8155999999999</v>
      </c>
      <c r="K114" s="27">
        <f>K120*K6</f>
        <v>1837.5660173600002</v>
      </c>
      <c r="L114" s="27">
        <f>L120*L6</f>
        <v>1940.9109257521995</v>
      </c>
      <c r="M114" s="27">
        <f>M120*M6</f>
        <v>2051.3461435797431</v>
      </c>
      <c r="N114" s="27">
        <f>N120*N6</f>
        <v>2169.4065456521066</v>
      </c>
    </row>
    <row r="115" spans="2:15" x14ac:dyDescent="0.3">
      <c r="B115" s="82" t="s">
        <v>143</v>
      </c>
      <c r="C115" s="83"/>
      <c r="D115" s="83"/>
      <c r="E115" s="113">
        <f>E113+E114</f>
        <v>2813</v>
      </c>
      <c r="F115" s="113">
        <f t="shared" ref="F115:I115" si="43">F113+F114</f>
        <v>7234</v>
      </c>
      <c r="G115" s="113">
        <f t="shared" si="43"/>
        <v>6887</v>
      </c>
      <c r="H115" s="113">
        <f t="shared" si="43"/>
        <v>7835</v>
      </c>
      <c r="I115" s="113">
        <f t="shared" si="43"/>
        <v>8137</v>
      </c>
      <c r="J115" s="113">
        <f>J113+J114</f>
        <v>8171.8155999999999</v>
      </c>
      <c r="K115" s="113">
        <f t="shared" ref="K115:N115" si="44">K113+K114</f>
        <v>8545.3556977600001</v>
      </c>
      <c r="L115" s="113">
        <f t="shared" si="44"/>
        <v>8940.8736029124393</v>
      </c>
      <c r="M115" s="113">
        <f t="shared" si="44"/>
        <v>9359.9136579345832</v>
      </c>
      <c r="N115" s="113">
        <f t="shared" si="44"/>
        <v>9804.1380968361264</v>
      </c>
    </row>
    <row r="116" spans="2:15" x14ac:dyDescent="0.3"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 spans="2:15" x14ac:dyDescent="0.3">
      <c r="B117" s="1" t="s">
        <v>144</v>
      </c>
      <c r="E117" s="27">
        <f>E118-E115</f>
        <v>2840</v>
      </c>
      <c r="F117" s="27">
        <f t="shared" ref="F117:H117" si="45">F118-F115</f>
        <v>-1844</v>
      </c>
      <c r="G117" s="27">
        <f t="shared" si="45"/>
        <v>-1628</v>
      </c>
      <c r="H117" s="27">
        <f t="shared" si="45"/>
        <v>-1780</v>
      </c>
      <c r="I117" s="27">
        <f>I118-I115</f>
        <v>-1706</v>
      </c>
      <c r="J117" s="27">
        <f>-J121*J114</f>
        <v>-1464.0259196</v>
      </c>
      <c r="K117" s="27">
        <f>-K121*K114</f>
        <v>-1545.3930205997601</v>
      </c>
      <c r="L117" s="27">
        <f>-L121*L114</f>
        <v>-1632.3060885575997</v>
      </c>
      <c r="M117" s="27">
        <f>-M121*M114</f>
        <v>-1725.1821067505639</v>
      </c>
      <c r="N117" s="27">
        <f>-N121*N114</f>
        <v>-1824.4709048934217</v>
      </c>
    </row>
    <row r="118" spans="2:15" x14ac:dyDescent="0.3">
      <c r="B118" s="82" t="s">
        <v>145</v>
      </c>
      <c r="C118" s="83"/>
      <c r="D118" s="83"/>
      <c r="E118" s="113">
        <f>E32</f>
        <v>5653</v>
      </c>
      <c r="F118" s="113">
        <f>F32</f>
        <v>5390</v>
      </c>
      <c r="G118" s="113">
        <f>G32</f>
        <v>5259</v>
      </c>
      <c r="H118" s="113">
        <f>H32</f>
        <v>6055</v>
      </c>
      <c r="I118" s="113">
        <f>I32</f>
        <v>6431</v>
      </c>
      <c r="J118" s="113">
        <f>J115+J117</f>
        <v>6707.7896804000002</v>
      </c>
      <c r="K118" s="113">
        <f t="shared" ref="K118:N118" si="46">K115+K117</f>
        <v>6999.9626771602398</v>
      </c>
      <c r="L118" s="113">
        <f t="shared" si="46"/>
        <v>7308.5675143548397</v>
      </c>
      <c r="M118" s="113">
        <f t="shared" si="46"/>
        <v>7634.7315511840188</v>
      </c>
      <c r="N118" s="113">
        <f t="shared" si="46"/>
        <v>7979.6671919427044</v>
      </c>
    </row>
    <row r="120" spans="2:15" x14ac:dyDescent="0.3">
      <c r="B120" s="120" t="s">
        <v>146</v>
      </c>
      <c r="C120" s="83"/>
      <c r="D120" s="83"/>
      <c r="E120" s="121">
        <f>E114/E6</f>
        <v>1.4574351714818867E-2</v>
      </c>
      <c r="F120" s="121">
        <f>F114/F6</f>
        <v>2.0002530364372471E-2</v>
      </c>
      <c r="G120" s="121">
        <f>G114/G6</f>
        <v>1.6519349819578245E-2</v>
      </c>
      <c r="H120" s="121">
        <f>H114/H6</f>
        <v>2.7953208759250819E-2</v>
      </c>
      <c r="I120" s="121">
        <f>I114/I6</f>
        <v>2.2096281202241465E-2</v>
      </c>
      <c r="J120" s="99">
        <f>Assumptions!C22</f>
        <v>0.02</v>
      </c>
      <c r="K120" s="99">
        <f>Assumptions!D22</f>
        <v>0.02</v>
      </c>
      <c r="L120" s="99">
        <f>Assumptions!E22</f>
        <v>0.02</v>
      </c>
      <c r="M120" s="99">
        <f>Assumptions!F22</f>
        <v>0.02</v>
      </c>
      <c r="N120" s="100">
        <f>Assumptions!G22</f>
        <v>0.02</v>
      </c>
      <c r="O120" s="1" t="s">
        <v>147</v>
      </c>
    </row>
    <row r="121" spans="2:15" x14ac:dyDescent="0.3">
      <c r="B121" s="119" t="s">
        <v>148</v>
      </c>
      <c r="C121" s="4"/>
      <c r="D121" s="4"/>
      <c r="E121" s="60">
        <f>-E117/E114</f>
        <v>-3.1346578366445916</v>
      </c>
      <c r="F121" s="60">
        <f>-F117/F114</f>
        <v>1.1663504111321947</v>
      </c>
      <c r="G121" s="60">
        <f>-G117/G114</f>
        <v>1.0875083500334002</v>
      </c>
      <c r="H121" s="60">
        <f>-H117/H114</f>
        <v>0.69099378881987583</v>
      </c>
      <c r="I121" s="60">
        <f>-I117/I114</f>
        <v>0.81940441882804993</v>
      </c>
      <c r="J121" s="51">
        <f>Assumptions!C23</f>
        <v>0.84099999999999997</v>
      </c>
      <c r="K121" s="51">
        <f>Assumptions!D23</f>
        <v>0.84099999999999997</v>
      </c>
      <c r="L121" s="51">
        <f>Assumptions!E23</f>
        <v>0.84099999999999997</v>
      </c>
      <c r="M121" s="51">
        <f>Assumptions!F23</f>
        <v>0.84099999999999997</v>
      </c>
      <c r="N121" s="101">
        <f>Assumptions!G23</f>
        <v>0.84099999999999997</v>
      </c>
      <c r="O121" s="1" t="s">
        <v>149</v>
      </c>
    </row>
    <row r="124" spans="2:15" x14ac:dyDescent="0.3">
      <c r="B124" s="221" t="s">
        <v>150</v>
      </c>
      <c r="C124" s="222"/>
      <c r="D124" s="222"/>
      <c r="E124" s="222"/>
      <c r="F124" s="222"/>
      <c r="G124" s="223"/>
      <c r="I124" s="221" t="s">
        <v>151</v>
      </c>
      <c r="J124" s="221"/>
    </row>
    <row r="125" spans="2:15" ht="18.75" x14ac:dyDescent="0.45">
      <c r="B125" s="3"/>
      <c r="C125" s="351" t="s">
        <v>152</v>
      </c>
      <c r="D125" s="351"/>
      <c r="E125" s="351"/>
      <c r="F125" s="351"/>
      <c r="G125" s="352"/>
      <c r="I125" s="147" t="s">
        <v>153</v>
      </c>
      <c r="J125" s="148">
        <v>0.01</v>
      </c>
    </row>
    <row r="126" spans="2:15" x14ac:dyDescent="0.3">
      <c r="B126" s="5" t="s">
        <v>154</v>
      </c>
      <c r="C126" s="9">
        <v>44592</v>
      </c>
      <c r="D126" s="9">
        <f t="shared" ref="D126:G127" si="47">EOMONTH(C126,12)</f>
        <v>44957</v>
      </c>
      <c r="E126" s="9">
        <f t="shared" si="47"/>
        <v>45322</v>
      </c>
      <c r="F126" s="9">
        <f t="shared" si="47"/>
        <v>45688</v>
      </c>
      <c r="G126" s="10">
        <f t="shared" si="47"/>
        <v>46053</v>
      </c>
      <c r="I126" s="147" t="s">
        <v>155</v>
      </c>
      <c r="J126" s="150">
        <f>G140*(1+0.05)</f>
        <v>5532.2052478098612</v>
      </c>
    </row>
    <row r="127" spans="2:15" x14ac:dyDescent="0.3">
      <c r="B127" s="11" t="s">
        <v>156</v>
      </c>
      <c r="C127" s="14">
        <v>44592</v>
      </c>
      <c r="D127" s="14">
        <f t="shared" si="47"/>
        <v>44957</v>
      </c>
      <c r="E127" s="14">
        <f t="shared" si="47"/>
        <v>45322</v>
      </c>
      <c r="F127" s="14">
        <f t="shared" si="47"/>
        <v>45688</v>
      </c>
      <c r="G127" s="15">
        <f t="shared" si="47"/>
        <v>46053</v>
      </c>
      <c r="I127" s="147" t="s">
        <v>157</v>
      </c>
      <c r="J127" s="151">
        <f>'WACC Calculation'!D29</f>
        <v>5.5126200430268307E-2</v>
      </c>
      <c r="K127" s="340"/>
    </row>
    <row r="128" spans="2:15" x14ac:dyDescent="0.3">
      <c r="B128" s="16"/>
      <c r="C128" s="19">
        <v>1</v>
      </c>
      <c r="D128" s="19">
        <v>2</v>
      </c>
      <c r="E128" s="19">
        <v>3</v>
      </c>
      <c r="F128" s="19">
        <v>4</v>
      </c>
      <c r="G128" s="20">
        <v>5</v>
      </c>
      <c r="I128" s="147" t="s">
        <v>158</v>
      </c>
      <c r="J128" s="150">
        <f>J126/(J127-J125)</f>
        <v>122594.08492320453</v>
      </c>
    </row>
    <row r="129" spans="2:23" x14ac:dyDescent="0.3">
      <c r="I129" s="134" t="s">
        <v>159</v>
      </c>
      <c r="J129" s="154">
        <v>5</v>
      </c>
    </row>
    <row r="130" spans="2:23" x14ac:dyDescent="0.3">
      <c r="B130" s="1" t="s">
        <v>54</v>
      </c>
      <c r="C130" s="27">
        <f>'3 Statement Model '!J6</f>
        <v>87040.78</v>
      </c>
      <c r="D130" s="27">
        <f>'3 Statement Model '!K6</f>
        <v>91878.300868000006</v>
      </c>
      <c r="E130" s="27">
        <f>'3 Statement Model '!L6</f>
        <v>97045.546287609977</v>
      </c>
      <c r="F130" s="27">
        <f>'3 Statement Model '!M6</f>
        <v>102567.30717898715</v>
      </c>
      <c r="G130" s="27">
        <f>'3 Statement Model '!N6</f>
        <v>108470.32728260533</v>
      </c>
      <c r="I130" s="152" t="s">
        <v>160</v>
      </c>
      <c r="J130" s="155">
        <f>J128/(1+J127)^J129</f>
        <v>93744.863142982023</v>
      </c>
    </row>
    <row r="131" spans="2:23" x14ac:dyDescent="0.3">
      <c r="B131" s="67" t="s">
        <v>161</v>
      </c>
      <c r="C131" s="77">
        <f>'3 Statement Model '!J7</f>
        <v>-80686.803060000006</v>
      </c>
      <c r="D131" s="77">
        <f>'3 Statement Model '!K7</f>
        <v>-85171.184904636</v>
      </c>
      <c r="E131" s="77">
        <f>'3 Statement Model '!L7</f>
        <v>-89961.221408614452</v>
      </c>
      <c r="F131" s="77">
        <f>'3 Statement Model '!M7</f>
        <v>-95079.893754921082</v>
      </c>
      <c r="G131" s="77">
        <f>'3 Statement Model '!N7</f>
        <v>-100551.99339097514</v>
      </c>
      <c r="I131" s="124"/>
      <c r="J131" s="124"/>
    </row>
    <row r="132" spans="2:23" x14ac:dyDescent="0.3">
      <c r="B132" s="330" t="s">
        <v>57</v>
      </c>
      <c r="C132" s="78">
        <f>C130+C131</f>
        <v>6353.9769399999932</v>
      </c>
      <c r="D132" s="78">
        <f>D130+D131</f>
        <v>6707.1159633640054</v>
      </c>
      <c r="E132" s="78">
        <f>E130+E131</f>
        <v>7084.3248789955251</v>
      </c>
      <c r="F132" s="78">
        <f>F130+F131</f>
        <v>7487.4134240660642</v>
      </c>
      <c r="G132" s="78">
        <f>G130+G131</f>
        <v>7918.3338916301873</v>
      </c>
      <c r="I132" s="221" t="s">
        <v>162</v>
      </c>
      <c r="J132" s="221"/>
    </row>
    <row r="133" spans="2:23" x14ac:dyDescent="0.3">
      <c r="B133" s="1" t="s">
        <v>58</v>
      </c>
      <c r="C133" s="27">
        <f>'3 Statement Model '!J9</f>
        <v>-3481.6311999999998</v>
      </c>
      <c r="D133" s="27">
        <f>'3 Statement Model '!K9</f>
        <v>-3675.1320347200003</v>
      </c>
      <c r="E133" s="27">
        <f>'3 Statement Model '!L9</f>
        <v>-3881.8218515043991</v>
      </c>
      <c r="F133" s="27">
        <f>'3 Statement Model '!M9</f>
        <v>-4102.6922871594861</v>
      </c>
      <c r="G133" s="27">
        <f>'3 Statement Model '!N9</f>
        <v>-4338.8130913042132</v>
      </c>
      <c r="I133" s="147" t="s">
        <v>163</v>
      </c>
      <c r="J133" s="156">
        <f>'Comparable Companies'!M14</f>
        <v>9.3559577982332147</v>
      </c>
    </row>
    <row r="134" spans="2:23" x14ac:dyDescent="0.3">
      <c r="B134" s="82" t="s">
        <v>59</v>
      </c>
      <c r="C134" s="110">
        <f>C132+C133</f>
        <v>2872.3457399999934</v>
      </c>
      <c r="D134" s="110">
        <f>D132+D133</f>
        <v>3031.9839286440051</v>
      </c>
      <c r="E134" s="110">
        <f>E132+E133</f>
        <v>3202.503027491126</v>
      </c>
      <c r="F134" s="110">
        <f>F132+F133</f>
        <v>3384.7211369065781</v>
      </c>
      <c r="G134" s="110">
        <f>G132+G133</f>
        <v>3579.5208003259741</v>
      </c>
      <c r="I134" s="147" t="s">
        <v>164</v>
      </c>
      <c r="J134" s="150">
        <f>G132*(1+N16)</f>
        <v>8374.0549730843977</v>
      </c>
    </row>
    <row r="135" spans="2:23" x14ac:dyDescent="0.3">
      <c r="B135" s="122" t="s">
        <v>165</v>
      </c>
      <c r="C135" s="27">
        <f>C134*'3 Statement Model '!J19</f>
        <v>603.19260539999857</v>
      </c>
      <c r="D135" s="27">
        <f>D134*'3 Statement Model '!K19</f>
        <v>636.71662501524111</v>
      </c>
      <c r="E135" s="27">
        <f>E134*'3 Statement Model '!L19</f>
        <v>672.5256357731364</v>
      </c>
      <c r="F135" s="27">
        <f>F134*'3 Statement Model '!M19</f>
        <v>710.79143875038142</v>
      </c>
      <c r="G135" s="27">
        <f>G134*'3 Statement Model '!N19</f>
        <v>751.69936806845453</v>
      </c>
      <c r="I135" s="147" t="s">
        <v>166</v>
      </c>
      <c r="J135" s="151">
        <f>'WACC Calculation'!D29</f>
        <v>5.5126200430268307E-2</v>
      </c>
    </row>
    <row r="136" spans="2:23" x14ac:dyDescent="0.3">
      <c r="B136" s="82" t="s">
        <v>167</v>
      </c>
      <c r="C136" s="110">
        <f>C134-C135</f>
        <v>2269.1531345999947</v>
      </c>
      <c r="D136" s="110">
        <f>D134-D135</f>
        <v>2395.2673036287642</v>
      </c>
      <c r="E136" s="110">
        <f>E134-E135</f>
        <v>2529.9773917179896</v>
      </c>
      <c r="F136" s="110">
        <f>F134-F135</f>
        <v>2673.9296981561965</v>
      </c>
      <c r="G136" s="110">
        <f>G134-G135</f>
        <v>2827.8214322575195</v>
      </c>
      <c r="I136" s="147" t="s">
        <v>168</v>
      </c>
      <c r="J136" s="150">
        <f>J133*J134</f>
        <v>78347.304928262602</v>
      </c>
    </row>
    <row r="137" spans="2:23" x14ac:dyDescent="0.3">
      <c r="B137" s="122" t="s">
        <v>169</v>
      </c>
      <c r="C137" s="27">
        <f>-'3 Statement Model '!J9</f>
        <v>3481.6311999999998</v>
      </c>
      <c r="D137" s="27">
        <f>-'3 Statement Model '!K9</f>
        <v>3675.1320347200003</v>
      </c>
      <c r="E137" s="27">
        <f>-'3 Statement Model '!L9</f>
        <v>3881.8218515043991</v>
      </c>
      <c r="F137" s="27">
        <f>-'3 Statement Model '!M9</f>
        <v>4102.6922871594861</v>
      </c>
      <c r="G137" s="27">
        <f>-'3 Statement Model '!N9</f>
        <v>4338.8130913042132</v>
      </c>
      <c r="I137" s="147" t="s">
        <v>159</v>
      </c>
      <c r="J137" s="157">
        <v>5</v>
      </c>
    </row>
    <row r="138" spans="2:23" x14ac:dyDescent="0.3">
      <c r="B138" s="122" t="s">
        <v>170</v>
      </c>
      <c r="C138" s="27">
        <f>'3 Statement Model '!J89</f>
        <v>-1740.8155999999999</v>
      </c>
      <c r="D138" s="27">
        <f>'3 Statement Model '!K89</f>
        <v>-1837.5660173600002</v>
      </c>
      <c r="E138" s="27">
        <f>'3 Statement Model '!L89</f>
        <v>-1940.9109257521995</v>
      </c>
      <c r="F138" s="27">
        <f>'3 Statement Model '!M89</f>
        <v>-2051.3461435797431</v>
      </c>
      <c r="G138" s="27">
        <f>'3 Statement Model '!N89</f>
        <v>-2169.4065456521066</v>
      </c>
      <c r="I138" s="152" t="s">
        <v>160</v>
      </c>
      <c r="J138" s="155">
        <f>J136/(1+J135)^J137</f>
        <v>59910.373185805045</v>
      </c>
    </row>
    <row r="139" spans="2:23" x14ac:dyDescent="0.3">
      <c r="B139" s="122" t="s">
        <v>171</v>
      </c>
      <c r="C139" s="27">
        <f>-'3 Statement Model '!J80</f>
        <v>-3106.3241199999939</v>
      </c>
      <c r="D139" s="27">
        <f>-'3 Statement Model '!K80</f>
        <v>222.52595992799979</v>
      </c>
      <c r="E139" s="27">
        <f>-'3 Statement Model '!L80</f>
        <v>237.69328930206029</v>
      </c>
      <c r="F139" s="27">
        <f>-'3 Statement Model '!M80</f>
        <v>254.00100100334748</v>
      </c>
      <c r="G139" s="27">
        <f>-'3 Statement Model '!N80</f>
        <v>271.53892476643159</v>
      </c>
      <c r="I139" s="124"/>
      <c r="J139" s="124"/>
    </row>
    <row r="140" spans="2:23" x14ac:dyDescent="0.3">
      <c r="B140" s="82" t="s">
        <v>172</v>
      </c>
      <c r="C140" s="110">
        <f>C136+C137+C138+C139</f>
        <v>903.64461460000075</v>
      </c>
      <c r="D140" s="110">
        <f>D136+D137+D138+D139</f>
        <v>4455.3592809167649</v>
      </c>
      <c r="E140" s="110">
        <f>E136+E137+E138+E139</f>
        <v>4708.5816067722499</v>
      </c>
      <c r="F140" s="110">
        <f>F136+F137+F138+F139</f>
        <v>4979.2768427392875</v>
      </c>
      <c r="G140" s="110">
        <f>G136+G137+G138+G139</f>
        <v>5268.7669026760577</v>
      </c>
      <c r="I140" s="221" t="s">
        <v>173</v>
      </c>
      <c r="J140" s="221"/>
    </row>
    <row r="141" spans="2:23" x14ac:dyDescent="0.3">
      <c r="B141" s="1" t="s">
        <v>174</v>
      </c>
      <c r="C141" s="123">
        <f>1/(1+'WACC Calculation'!$D$29)^C128</f>
        <v>0.94775392705840444</v>
      </c>
      <c r="D141" s="123">
        <f>1/(1+'WACC Calculation'!$D$29)^D128</f>
        <v>0.8982375062546275</v>
      </c>
      <c r="E141" s="123">
        <f>1/(1+'WACC Calculation'!$D$29)^E128</f>
        <v>0.85130812398397127</v>
      </c>
      <c r="F141" s="123">
        <f>1/(1+'WACC Calculation'!$D$29)^F128</f>
        <v>0.80683061764253194</v>
      </c>
      <c r="G141" s="123">
        <f>1/(1+'WACC Calculation'!$D$29)^G128</f>
        <v>0.76467688634166775</v>
      </c>
      <c r="I141" s="147" t="s">
        <v>175</v>
      </c>
      <c r="J141" s="149">
        <f>J130</f>
        <v>93744.863142982023</v>
      </c>
    </row>
    <row r="142" spans="2:23" x14ac:dyDescent="0.3">
      <c r="B142" s="331" t="s">
        <v>176</v>
      </c>
      <c r="C142" s="332">
        <f>C140*C141</f>
        <v>856.43273215232909</v>
      </c>
      <c r="D142" s="332">
        <f>D140*D141</f>
        <v>4001.9708099590853</v>
      </c>
      <c r="E142" s="332">
        <f>E140*E141</f>
        <v>4008.4537742867169</v>
      </c>
      <c r="F142" s="332">
        <f>F140*F141</f>
        <v>4017.4330104404958</v>
      </c>
      <c r="G142" s="332">
        <f>G140*G141</f>
        <v>4028.9042699983606</v>
      </c>
      <c r="I142" s="147" t="s">
        <v>163</v>
      </c>
      <c r="J142" s="149">
        <f>J138</f>
        <v>59910.373185805045</v>
      </c>
    </row>
    <row r="143" spans="2:23" x14ac:dyDescent="0.3">
      <c r="I143" s="152" t="s">
        <v>177</v>
      </c>
      <c r="J143" s="153">
        <f>AVERAGE(J141:J142)</f>
        <v>76827.618164393527</v>
      </c>
      <c r="S143" s="259"/>
      <c r="T143" s="259"/>
      <c r="U143" s="259"/>
      <c r="V143" s="259"/>
      <c r="W143" s="259"/>
    </row>
    <row r="144" spans="2:23" x14ac:dyDescent="0.3">
      <c r="S144" s="259"/>
      <c r="T144" s="259"/>
      <c r="U144" s="259"/>
      <c r="V144" s="259"/>
      <c r="W144" s="259"/>
    </row>
    <row r="145" spans="2:25" x14ac:dyDescent="0.3">
      <c r="B145" s="2" t="s">
        <v>178</v>
      </c>
      <c r="C145" s="75"/>
      <c r="D145" s="75"/>
      <c r="E145" s="75"/>
      <c r="F145" s="75"/>
      <c r="G145" s="75"/>
      <c r="H145" s="75"/>
      <c r="Y145"/>
    </row>
    <row r="146" spans="2:25" x14ac:dyDescent="0.3">
      <c r="B146" s="124"/>
      <c r="C146" s="124"/>
      <c r="D146" s="124"/>
      <c r="E146" s="124"/>
      <c r="F146" s="124"/>
      <c r="G146" s="124"/>
      <c r="H146" s="124"/>
      <c r="Y146"/>
    </row>
    <row r="147" spans="2:25" x14ac:dyDescent="0.3">
      <c r="B147" s="226" t="s">
        <v>179</v>
      </c>
      <c r="C147" s="226"/>
      <c r="D147" s="124"/>
      <c r="E147" s="124"/>
      <c r="F147" s="124"/>
      <c r="G147" s="124"/>
      <c r="H147" s="124"/>
      <c r="Y147"/>
    </row>
    <row r="148" spans="2:25" x14ac:dyDescent="0.3">
      <c r="B148" s="147" t="s">
        <v>180</v>
      </c>
      <c r="C148" s="149">
        <f>SUM(C142:G142)</f>
        <v>16913.194596836987</v>
      </c>
      <c r="D148" s="124"/>
      <c r="E148" s="124"/>
      <c r="F148" s="124"/>
      <c r="G148" s="124"/>
      <c r="H148" s="124"/>
      <c r="Y148"/>
    </row>
    <row r="149" spans="2:25" x14ac:dyDescent="0.3">
      <c r="B149" s="158" t="s">
        <v>181</v>
      </c>
      <c r="C149" s="159">
        <f>C148/C152</f>
        <v>0.18042509018901931</v>
      </c>
      <c r="D149" s="124"/>
      <c r="E149" s="124"/>
      <c r="F149" s="124"/>
      <c r="G149" s="124"/>
      <c r="H149" s="124"/>
      <c r="O149"/>
      <c r="P149"/>
      <c r="Q149"/>
      <c r="R149"/>
      <c r="S149"/>
      <c r="Y149"/>
    </row>
    <row r="150" spans="2:25" x14ac:dyDescent="0.3">
      <c r="B150" s="147" t="s">
        <v>182</v>
      </c>
      <c r="C150" s="149">
        <f>J143</f>
        <v>76827.618164393527</v>
      </c>
      <c r="D150" s="124"/>
      <c r="E150" s="124"/>
      <c r="F150" s="124"/>
      <c r="G150" s="124"/>
      <c r="H150" s="124"/>
      <c r="O150"/>
      <c r="P150"/>
      <c r="Q150"/>
      <c r="R150"/>
      <c r="S150"/>
      <c r="Y150"/>
    </row>
    <row r="151" spans="2:25" x14ac:dyDescent="0.3">
      <c r="B151" s="147" t="s">
        <v>183</v>
      </c>
      <c r="C151" s="159">
        <f>C150/C152</f>
        <v>0.81957490981098069</v>
      </c>
      <c r="D151" s="124"/>
      <c r="E151" s="124"/>
      <c r="F151" s="124"/>
      <c r="G151" s="124"/>
      <c r="H151" s="124"/>
      <c r="Y151"/>
    </row>
    <row r="152" spans="2:25" x14ac:dyDescent="0.3">
      <c r="B152" s="152" t="s">
        <v>184</v>
      </c>
      <c r="C152" s="153">
        <f>C148+C150</f>
        <v>93740.812761230511</v>
      </c>
      <c r="D152" s="124"/>
      <c r="E152" s="124"/>
      <c r="F152" s="124"/>
      <c r="G152" s="124"/>
      <c r="H152" s="124"/>
      <c r="Y152"/>
    </row>
    <row r="153" spans="2:25" x14ac:dyDescent="0.3">
      <c r="B153" s="124"/>
      <c r="C153" s="124"/>
      <c r="D153" s="124"/>
      <c r="E153" s="124"/>
      <c r="F153" s="124"/>
      <c r="G153" s="124"/>
      <c r="H153" s="124"/>
      <c r="Y153"/>
    </row>
    <row r="154" spans="2:25" x14ac:dyDescent="0.3">
      <c r="B154" s="226" t="s">
        <v>185</v>
      </c>
      <c r="C154" s="226"/>
      <c r="D154" s="124"/>
      <c r="E154" s="124"/>
      <c r="F154" s="124"/>
      <c r="G154" s="124"/>
      <c r="H154" s="124"/>
      <c r="Y154"/>
    </row>
    <row r="155" spans="2:25" x14ac:dyDescent="0.3">
      <c r="B155" s="147" t="s">
        <v>184</v>
      </c>
      <c r="C155" s="149">
        <f>C152</f>
        <v>93740.812761230511</v>
      </c>
      <c r="D155" s="124"/>
      <c r="E155" s="124"/>
      <c r="F155" s="124"/>
      <c r="G155" s="124"/>
      <c r="H155" s="124"/>
      <c r="Y155"/>
    </row>
    <row r="156" spans="2:25" x14ac:dyDescent="0.3">
      <c r="B156" s="147" t="s">
        <v>186</v>
      </c>
      <c r="C156" s="149">
        <f>'Balance Sheet'!G5</f>
        <v>14201</v>
      </c>
      <c r="D156" s="124"/>
      <c r="E156" s="124"/>
      <c r="F156" s="124"/>
      <c r="G156" s="124"/>
      <c r="H156" s="124"/>
      <c r="Y156"/>
    </row>
    <row r="157" spans="2:25" x14ac:dyDescent="0.3">
      <c r="B157" s="147" t="s">
        <v>187</v>
      </c>
      <c r="C157" s="149">
        <f>-('Balance Sheet'!G25+'Balance Sheet'!G32)</f>
        <v>-47984</v>
      </c>
      <c r="D157" s="124"/>
      <c r="E157" s="124"/>
      <c r="F157" s="124"/>
      <c r="G157" s="124"/>
      <c r="H157" s="124"/>
      <c r="Y157"/>
    </row>
    <row r="158" spans="2:25" x14ac:dyDescent="0.3">
      <c r="B158" s="147" t="s">
        <v>188</v>
      </c>
      <c r="C158" s="149">
        <f>-'Balance Sheet'!G44</f>
        <v>-5074</v>
      </c>
      <c r="D158" s="124"/>
      <c r="E158" s="124"/>
      <c r="F158" s="124"/>
      <c r="G158" s="124"/>
      <c r="H158" s="124"/>
      <c r="Y158"/>
    </row>
    <row r="159" spans="2:25" x14ac:dyDescent="0.3">
      <c r="B159" s="147" t="s">
        <v>189</v>
      </c>
      <c r="C159" s="149">
        <v>-472</v>
      </c>
      <c r="D159" s="124"/>
      <c r="E159" s="124"/>
      <c r="F159" s="124"/>
      <c r="G159" s="124"/>
      <c r="H159" s="124"/>
      <c r="Y159"/>
    </row>
    <row r="160" spans="2:25" x14ac:dyDescent="0.3">
      <c r="B160" s="152" t="s">
        <v>8</v>
      </c>
      <c r="C160" s="153">
        <f>C155+C156+C157+C158+C159</f>
        <v>54411.812761230511</v>
      </c>
      <c r="D160" s="124"/>
      <c r="E160" s="124"/>
      <c r="F160" s="124"/>
      <c r="G160" s="124"/>
      <c r="H160" s="124"/>
      <c r="Y160"/>
    </row>
    <row r="161" spans="2:25" x14ac:dyDescent="0.3">
      <c r="B161" s="124"/>
      <c r="C161" s="124"/>
      <c r="D161" s="124"/>
      <c r="E161" s="124"/>
      <c r="F161" s="124"/>
      <c r="G161" s="124"/>
      <c r="H161" s="124"/>
      <c r="Y161"/>
    </row>
    <row r="162" spans="2:25" x14ac:dyDescent="0.3">
      <c r="B162" s="226" t="s">
        <v>7</v>
      </c>
      <c r="C162" s="226"/>
      <c r="D162" s="124"/>
      <c r="E162" s="124"/>
      <c r="F162" s="124"/>
      <c r="G162" s="124"/>
      <c r="H162" s="124"/>
      <c r="Y162"/>
    </row>
    <row r="163" spans="2:25" x14ac:dyDescent="0.3">
      <c r="B163" s="147" t="s">
        <v>8</v>
      </c>
      <c r="C163" s="149">
        <f>C160</f>
        <v>54411.812761230511</v>
      </c>
      <c r="D163" s="124"/>
      <c r="E163" s="124"/>
      <c r="F163" s="124"/>
      <c r="G163" s="124"/>
      <c r="H163" s="124"/>
      <c r="Y163"/>
    </row>
    <row r="164" spans="2:25" x14ac:dyDescent="0.3">
      <c r="B164" s="147" t="s">
        <v>10</v>
      </c>
      <c r="C164" s="297">
        <v>766.79</v>
      </c>
      <c r="D164" s="124"/>
      <c r="E164" s="124"/>
      <c r="F164" s="124"/>
      <c r="G164" s="124"/>
      <c r="H164" s="124"/>
      <c r="Y164"/>
    </row>
    <row r="165" spans="2:25" x14ac:dyDescent="0.3">
      <c r="B165" s="152" t="s">
        <v>7</v>
      </c>
      <c r="C165" s="298">
        <f>C163/C164</f>
        <v>70.960514301478256</v>
      </c>
      <c r="D165" s="124"/>
      <c r="E165" s="124"/>
      <c r="F165" s="124"/>
      <c r="G165" s="124"/>
      <c r="H165" s="124"/>
      <c r="Y165"/>
    </row>
    <row r="166" spans="2:25" x14ac:dyDescent="0.3">
      <c r="B166" s="147" t="s">
        <v>13</v>
      </c>
      <c r="C166" s="299">
        <v>56.18</v>
      </c>
      <c r="D166" s="124"/>
      <c r="E166" s="124"/>
      <c r="F166" s="124"/>
      <c r="G166" s="124"/>
      <c r="H166" s="124"/>
    </row>
    <row r="167" spans="2:25" x14ac:dyDescent="0.3">
      <c r="B167" s="152" t="s">
        <v>14</v>
      </c>
      <c r="C167" s="300">
        <f>C165/C166-1</f>
        <v>0.26309210219790424</v>
      </c>
      <c r="D167" s="124"/>
      <c r="E167" s="124"/>
      <c r="F167" s="124"/>
      <c r="G167" s="124"/>
      <c r="H167" s="124"/>
    </row>
    <row r="168" spans="2:25" x14ac:dyDescent="0.3">
      <c r="B168" s="124"/>
      <c r="C168" s="124"/>
      <c r="D168" s="124"/>
      <c r="E168" s="124"/>
      <c r="F168" s="124"/>
      <c r="G168" s="124"/>
      <c r="H168" s="124"/>
    </row>
    <row r="169" spans="2:25" x14ac:dyDescent="0.3">
      <c r="B169" s="226" t="s">
        <v>190</v>
      </c>
      <c r="C169" s="226"/>
      <c r="D169" s="226"/>
      <c r="E169" s="226"/>
      <c r="F169" s="226"/>
      <c r="G169" s="226"/>
      <c r="H169" s="226"/>
      <c r="J169"/>
      <c r="K169"/>
      <c r="L169"/>
      <c r="M169"/>
      <c r="N169"/>
      <c r="O169"/>
      <c r="P169"/>
      <c r="Q169"/>
      <c r="R169"/>
    </row>
    <row r="170" spans="2:25" x14ac:dyDescent="0.3">
      <c r="B170" s="124"/>
      <c r="C170" s="124"/>
      <c r="D170" s="124"/>
      <c r="E170" s="124"/>
      <c r="F170" s="124"/>
      <c r="G170" s="124"/>
      <c r="H170" s="124"/>
      <c r="J170"/>
      <c r="K170"/>
      <c r="L170"/>
      <c r="M170"/>
      <c r="N170"/>
      <c r="O170"/>
      <c r="P170"/>
      <c r="Q170"/>
      <c r="R170"/>
    </row>
    <row r="171" spans="2:25" x14ac:dyDescent="0.3">
      <c r="B171" s="161"/>
      <c r="C171" s="161"/>
      <c r="D171" s="354" t="s">
        <v>4</v>
      </c>
      <c r="E171" s="354"/>
      <c r="F171" s="354"/>
      <c r="G171" s="354"/>
      <c r="H171" s="354"/>
      <c r="J171"/>
      <c r="K171"/>
      <c r="L171"/>
      <c r="M171"/>
      <c r="N171"/>
      <c r="O171"/>
      <c r="P171"/>
      <c r="Q171"/>
      <c r="R171"/>
    </row>
    <row r="172" spans="2:25" x14ac:dyDescent="0.3">
      <c r="B172" s="301"/>
      <c r="C172" s="341">
        <f>C165</f>
        <v>70.960514301478256</v>
      </c>
      <c r="D172" s="162">
        <f>E172-0.005</f>
        <v>4.5126200430268312E-2</v>
      </c>
      <c r="E172" s="162">
        <f>F172-0.005</f>
        <v>5.012620043026831E-2</v>
      </c>
      <c r="F172" s="162">
        <f>'WACC Calculation'!D29</f>
        <v>5.5126200430268307E-2</v>
      </c>
      <c r="G172" s="162">
        <f>F172+0.005</f>
        <v>6.0126200430268305E-2</v>
      </c>
      <c r="H172" s="162">
        <f>G172+0.005</f>
        <v>6.5126200430268302E-2</v>
      </c>
      <c r="J172"/>
      <c r="K172"/>
      <c r="L172"/>
      <c r="M172"/>
      <c r="N172"/>
      <c r="O172"/>
      <c r="P172"/>
      <c r="Q172"/>
      <c r="R172"/>
    </row>
    <row r="173" spans="2:25" x14ac:dyDescent="0.3">
      <c r="B173" s="163"/>
      <c r="C173" s="164">
        <f>C174-0.005</f>
        <v>0</v>
      </c>
      <c r="D173" s="165">
        <f t="dataTable" ref="D173:H177" dt2D="1" dtr="1" r1="K127" r2="J125"/>
        <v>59.871754312146294</v>
      </c>
      <c r="E173" s="165">
        <v>59.871754312146294</v>
      </c>
      <c r="F173" s="165">
        <v>59.871754312146294</v>
      </c>
      <c r="G173" s="165">
        <v>59.871754312146294</v>
      </c>
      <c r="H173" s="165">
        <v>59.871754312146294</v>
      </c>
      <c r="J173"/>
      <c r="K173"/>
      <c r="L173"/>
      <c r="M173"/>
      <c r="N173"/>
      <c r="O173"/>
      <c r="P173"/>
      <c r="Q173"/>
      <c r="R173"/>
    </row>
    <row r="174" spans="2:25" x14ac:dyDescent="0.3">
      <c r="B174" s="163"/>
      <c r="C174" s="164">
        <f>C175-0.005</f>
        <v>5.0000000000000001E-3</v>
      </c>
      <c r="D174" s="165">
        <v>64.863092190406618</v>
      </c>
      <c r="E174" s="166">
        <v>64.863092190406618</v>
      </c>
      <c r="F174" s="166">
        <v>64.863092190406618</v>
      </c>
      <c r="G174" s="166">
        <v>64.863092190406618</v>
      </c>
      <c r="H174" s="165">
        <v>64.863092190406618</v>
      </c>
      <c r="J174"/>
      <c r="K174"/>
      <c r="L174"/>
      <c r="M174"/>
      <c r="N174"/>
      <c r="O174"/>
      <c r="P174"/>
      <c r="Q174"/>
      <c r="R174"/>
    </row>
    <row r="175" spans="2:25" x14ac:dyDescent="0.3">
      <c r="B175" s="167" t="s">
        <v>153</v>
      </c>
      <c r="C175" s="164">
        <v>0.01</v>
      </c>
      <c r="D175" s="165">
        <v>70.960514301478256</v>
      </c>
      <c r="E175" s="166">
        <v>70.960514301478256</v>
      </c>
      <c r="F175" s="168">
        <v>70.960514301478256</v>
      </c>
      <c r="G175" s="166">
        <v>70.960514301478256</v>
      </c>
      <c r="H175" s="165">
        <v>70.960514301478256</v>
      </c>
      <c r="J175"/>
      <c r="K175"/>
      <c r="L175"/>
      <c r="M175"/>
      <c r="N175"/>
      <c r="O175"/>
      <c r="P175"/>
      <c r="Q175"/>
      <c r="R175"/>
    </row>
    <row r="176" spans="2:25" x14ac:dyDescent="0.3">
      <c r="B176" s="163"/>
      <c r="C176" s="164">
        <f>C175+0.005</f>
        <v>1.4999999999999999E-2</v>
      </c>
      <c r="D176" s="165">
        <v>78.577497708084934</v>
      </c>
      <c r="E176" s="166">
        <v>78.577497708084934</v>
      </c>
      <c r="F176" s="166">
        <v>78.577497708084934</v>
      </c>
      <c r="G176" s="166">
        <v>78.577497708084934</v>
      </c>
      <c r="H176" s="165">
        <v>78.577497708084934</v>
      </c>
      <c r="J176"/>
      <c r="K176"/>
      <c r="L176"/>
      <c r="M176"/>
      <c r="N176"/>
      <c r="O176"/>
      <c r="P176"/>
    </row>
    <row r="177" spans="2:16" x14ac:dyDescent="0.3">
      <c r="B177" s="163"/>
      <c r="C177" s="164">
        <f>C176+0.005</f>
        <v>0.02</v>
      </c>
      <c r="D177" s="165">
        <v>88.362943206607227</v>
      </c>
      <c r="E177" s="165">
        <v>88.362943206607227</v>
      </c>
      <c r="F177" s="165">
        <v>88.362943206607227</v>
      </c>
      <c r="G177" s="165">
        <v>88.362943206607227</v>
      </c>
      <c r="H177" s="165">
        <v>88.362943206607227</v>
      </c>
      <c r="J177"/>
      <c r="K177"/>
      <c r="L177"/>
      <c r="M177"/>
      <c r="N177"/>
      <c r="O177"/>
      <c r="P177"/>
    </row>
    <row r="178" spans="2:16" x14ac:dyDescent="0.3">
      <c r="B178" s="124"/>
      <c r="C178" s="124"/>
      <c r="D178" s="124"/>
      <c r="E178" s="124"/>
      <c r="F178" s="124"/>
      <c r="G178" s="124"/>
      <c r="H178" s="124"/>
    </row>
    <row r="179" spans="2:16" x14ac:dyDescent="0.3">
      <c r="B179" s="169"/>
      <c r="C179" s="124"/>
      <c r="D179" s="124"/>
      <c r="E179" s="124"/>
      <c r="F179" s="124"/>
      <c r="G179" s="124"/>
      <c r="H179" s="124"/>
    </row>
  </sheetData>
  <mergeCells count="4">
    <mergeCell ref="E4:I4"/>
    <mergeCell ref="J4:N4"/>
    <mergeCell ref="C125:G125"/>
    <mergeCell ref="D171:H17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1E5C-E0FF-2747-BF7E-41169267B0E6}">
  <dimension ref="A1:V57"/>
  <sheetViews>
    <sheetView zoomScale="93" zoomScaleNormal="93" workbookViewId="0">
      <selection activeCell="G56" sqref="G56"/>
    </sheetView>
  </sheetViews>
  <sheetFormatPr defaultColWidth="8.85546875" defaultRowHeight="16.5" x14ac:dyDescent="0.3"/>
  <cols>
    <col min="1" max="1" width="0.42578125" style="68" customWidth="1"/>
    <col min="2" max="2" width="43.85546875" style="1" bestFit="1" customWidth="1"/>
    <col min="3" max="3" width="11.42578125" style="1" customWidth="1"/>
    <col min="4" max="5" width="12.42578125" style="1" customWidth="1"/>
    <col min="6" max="7" width="13" style="1" customWidth="1"/>
    <col min="8" max="8" width="9.140625" style="1" bestFit="1" customWidth="1"/>
    <col min="9" max="10" width="10.140625" style="1" bestFit="1" customWidth="1"/>
    <col min="11" max="11" width="8.85546875" style="1"/>
    <col min="12" max="12" width="10.42578125" style="1" bestFit="1" customWidth="1"/>
    <col min="13" max="15" width="11.42578125" style="1" bestFit="1" customWidth="1"/>
    <col min="16" max="16" width="8.85546875" style="1"/>
    <col min="17" max="17" width="21.5703125" style="1" customWidth="1"/>
    <col min="18" max="16384" width="8.85546875" style="1"/>
  </cols>
  <sheetData>
    <row r="1" spans="1:22" s="355" customFormat="1" ht="5.25" customHeight="1" x14ac:dyDescent="0.25"/>
    <row r="2" spans="1:22" s="214" customFormat="1" ht="15.95" customHeight="1" x14ac:dyDescent="0.3">
      <c r="A2" s="68"/>
      <c r="B2" s="221" t="s">
        <v>191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21"/>
      <c r="O2" s="222"/>
      <c r="P2" s="222"/>
      <c r="Q2" s="222"/>
      <c r="R2" s="222"/>
      <c r="S2" s="222"/>
      <c r="T2" s="222"/>
    </row>
    <row r="3" spans="1:22" s="214" customFormat="1" ht="11.25" customHeight="1" x14ac:dyDescent="0.3">
      <c r="A3" s="68"/>
    </row>
    <row r="4" spans="1:22" x14ac:dyDescent="0.3">
      <c r="B4" s="221" t="s">
        <v>192</v>
      </c>
      <c r="C4" s="222" t="s">
        <v>193</v>
      </c>
      <c r="D4" s="222"/>
      <c r="E4" s="222"/>
      <c r="F4" s="222" t="s">
        <v>192</v>
      </c>
      <c r="G4" s="222" t="s">
        <v>194</v>
      </c>
      <c r="H4" s="222"/>
      <c r="I4" s="222"/>
      <c r="J4" s="222"/>
      <c r="K4" s="222" t="s">
        <v>192</v>
      </c>
      <c r="L4" s="222" t="s">
        <v>195</v>
      </c>
      <c r="M4" s="222"/>
      <c r="N4" s="222"/>
      <c r="O4" s="222"/>
      <c r="P4" s="222" t="s">
        <v>196</v>
      </c>
      <c r="Q4" s="222"/>
      <c r="R4" s="222"/>
      <c r="S4" s="222"/>
      <c r="T4" s="223"/>
      <c r="U4" s="224"/>
      <c r="V4" s="224"/>
    </row>
    <row r="5" spans="1:22" x14ac:dyDescent="0.3">
      <c r="B5" s="225" t="s">
        <v>192</v>
      </c>
      <c r="C5" s="226" t="s">
        <v>197</v>
      </c>
      <c r="D5" s="226" t="s">
        <v>198</v>
      </c>
      <c r="E5" s="226" t="s">
        <v>199</v>
      </c>
      <c r="F5" s="226" t="s">
        <v>192</v>
      </c>
      <c r="G5" s="226" t="s">
        <v>54</v>
      </c>
      <c r="H5" s="226" t="s">
        <v>57</v>
      </c>
      <c r="I5" s="226" t="s">
        <v>59</v>
      </c>
      <c r="J5" s="226" t="s">
        <v>200</v>
      </c>
      <c r="K5" s="226" t="s">
        <v>192</v>
      </c>
      <c r="L5" s="226" t="s">
        <v>201</v>
      </c>
      <c r="M5" s="226" t="s">
        <v>202</v>
      </c>
      <c r="N5" s="226" t="s">
        <v>203</v>
      </c>
      <c r="O5" s="226"/>
      <c r="P5" s="226" t="s">
        <v>204</v>
      </c>
      <c r="Q5" s="226"/>
      <c r="R5" s="226"/>
      <c r="S5" s="226"/>
      <c r="T5" s="227"/>
      <c r="U5" s="224"/>
      <c r="V5" s="224"/>
    </row>
    <row r="6" spans="1:22" x14ac:dyDescent="0.3">
      <c r="B6" s="228" t="s">
        <v>205</v>
      </c>
      <c r="C6" s="229" t="s">
        <v>206</v>
      </c>
      <c r="D6" s="229" t="s">
        <v>207</v>
      </c>
      <c r="E6" s="229" t="s">
        <v>207</v>
      </c>
      <c r="F6" s="229" t="s">
        <v>192</v>
      </c>
      <c r="G6" s="229" t="s">
        <v>207</v>
      </c>
      <c r="H6" s="229" t="s">
        <v>207</v>
      </c>
      <c r="I6" s="229" t="s">
        <v>207</v>
      </c>
      <c r="J6" s="229" t="s">
        <v>207</v>
      </c>
      <c r="K6" s="229" t="s">
        <v>192</v>
      </c>
      <c r="L6" s="229" t="s">
        <v>208</v>
      </c>
      <c r="M6" s="229" t="s">
        <v>208</v>
      </c>
      <c r="N6" s="229" t="s">
        <v>208</v>
      </c>
      <c r="O6" s="229" t="s">
        <v>208</v>
      </c>
      <c r="P6" s="229"/>
      <c r="Q6" s="229"/>
      <c r="R6" s="229"/>
      <c r="S6" s="229"/>
      <c r="T6" s="230"/>
      <c r="U6" s="224"/>
      <c r="V6" s="224"/>
    </row>
    <row r="7" spans="1:22" x14ac:dyDescent="0.3">
      <c r="B7" s="69" t="s">
        <v>209</v>
      </c>
      <c r="C7" s="231">
        <v>24.34</v>
      </c>
      <c r="D7" s="231">
        <v>31389.7</v>
      </c>
      <c r="E7" s="231">
        <v>33646.699999999997</v>
      </c>
      <c r="F7" s="231"/>
      <c r="G7" s="231">
        <v>56639</v>
      </c>
      <c r="H7" s="231">
        <v>4710</v>
      </c>
      <c r="I7" s="231">
        <v>3921</v>
      </c>
      <c r="J7" s="231">
        <v>2844</v>
      </c>
      <c r="K7" s="231"/>
      <c r="L7" s="232">
        <f t="shared" ref="L7:L13" si="0">E7/G7</f>
        <v>0.59405533289782653</v>
      </c>
      <c r="M7" s="232">
        <f t="shared" ref="M7:M13" si="1">E7/H7</f>
        <v>7.1436730360934177</v>
      </c>
      <c r="N7" s="232">
        <f t="shared" ref="N7:N13" si="2">E7/I7</f>
        <v>8.5811527671512362</v>
      </c>
      <c r="O7" s="232"/>
      <c r="P7" s="232">
        <f t="shared" ref="P7:P13" si="3">D7/J7</f>
        <v>11.037165963431786</v>
      </c>
      <c r="Q7" s="70"/>
      <c r="R7" s="70"/>
      <c r="S7" s="70"/>
      <c r="T7" s="72"/>
    </row>
    <row r="8" spans="1:22" x14ac:dyDescent="0.3">
      <c r="B8" s="69" t="s">
        <v>210</v>
      </c>
      <c r="C8" s="231">
        <v>12.34</v>
      </c>
      <c r="D8" s="231">
        <v>15961.8</v>
      </c>
      <c r="E8" s="231">
        <v>29533.8</v>
      </c>
      <c r="F8" s="231"/>
      <c r="G8" s="231">
        <v>26982</v>
      </c>
      <c r="H8" s="231">
        <v>4284</v>
      </c>
      <c r="I8" s="231">
        <v>1659</v>
      </c>
      <c r="J8" s="231">
        <v>-322</v>
      </c>
      <c r="K8" s="231"/>
      <c r="L8" s="232">
        <f t="shared" si="0"/>
        <v>1.0945741605514787</v>
      </c>
      <c r="M8" s="232">
        <f t="shared" si="1"/>
        <v>6.8939775910364141</v>
      </c>
      <c r="N8" s="232">
        <f t="shared" si="2"/>
        <v>17.802169981916816</v>
      </c>
      <c r="O8" s="232"/>
      <c r="P8" s="233">
        <f t="shared" si="3"/>
        <v>-49.570807453416144</v>
      </c>
      <c r="Q8" s="73" t="s">
        <v>211</v>
      </c>
      <c r="R8" s="70"/>
      <c r="S8" s="70"/>
      <c r="T8" s="72"/>
    </row>
    <row r="9" spans="1:22" x14ac:dyDescent="0.3">
      <c r="B9" s="69" t="s">
        <v>212</v>
      </c>
      <c r="C9" s="231">
        <v>56.43</v>
      </c>
      <c r="D9" s="231">
        <v>17168.5</v>
      </c>
      <c r="E9" s="231">
        <v>23345.5</v>
      </c>
      <c r="F9" s="231"/>
      <c r="G9" s="231">
        <v>16327</v>
      </c>
      <c r="H9" s="231">
        <v>2079</v>
      </c>
      <c r="I9" s="231">
        <v>608</v>
      </c>
      <c r="J9" s="231">
        <v>167</v>
      </c>
      <c r="K9" s="231"/>
      <c r="L9" s="232">
        <f t="shared" si="0"/>
        <v>1.4298707662154713</v>
      </c>
      <c r="M9" s="232">
        <f t="shared" si="1"/>
        <v>11.22919672919673</v>
      </c>
      <c r="N9" s="232">
        <f t="shared" si="2"/>
        <v>38.397203947368418</v>
      </c>
      <c r="O9" s="232"/>
      <c r="P9" s="233">
        <f t="shared" si="3"/>
        <v>102.80538922155688</v>
      </c>
      <c r="Q9" s="73" t="s">
        <v>211</v>
      </c>
      <c r="R9" s="70"/>
      <c r="S9" s="70"/>
      <c r="T9" s="72"/>
    </row>
    <row r="10" spans="1:22" x14ac:dyDescent="0.3">
      <c r="B10" s="69" t="s">
        <v>213</v>
      </c>
      <c r="C10" s="231">
        <v>1.17</v>
      </c>
      <c r="D10" s="231">
        <v>14115.5</v>
      </c>
      <c r="E10" s="231">
        <v>17308.2</v>
      </c>
      <c r="F10" s="231"/>
      <c r="G10" s="231">
        <v>55691.6</v>
      </c>
      <c r="H10" s="231">
        <v>2611.3000000000002</v>
      </c>
      <c r="I10" s="231">
        <v>1802.2</v>
      </c>
      <c r="J10" s="231">
        <v>1006.6</v>
      </c>
      <c r="K10" s="231"/>
      <c r="L10" s="232">
        <f t="shared" si="0"/>
        <v>0.31078654590638449</v>
      </c>
      <c r="M10" s="232">
        <f t="shared" si="1"/>
        <v>6.6281928541339559</v>
      </c>
      <c r="N10" s="232">
        <f t="shared" si="2"/>
        <v>9.6039285317944731</v>
      </c>
      <c r="O10" s="232"/>
      <c r="P10" s="232">
        <f t="shared" si="3"/>
        <v>14.022948539638387</v>
      </c>
      <c r="Q10" s="70"/>
      <c r="R10" s="70"/>
      <c r="S10" s="70"/>
      <c r="T10" s="72"/>
    </row>
    <row r="11" spans="1:22" x14ac:dyDescent="0.3">
      <c r="B11" s="69" t="s">
        <v>214</v>
      </c>
      <c r="C11" s="231">
        <v>49.42</v>
      </c>
      <c r="D11" s="231">
        <v>13465.7</v>
      </c>
      <c r="E11" s="231">
        <v>19238.5</v>
      </c>
      <c r="F11" s="231"/>
      <c r="G11" s="231">
        <v>25696.9</v>
      </c>
      <c r="H11" s="231">
        <v>1699.7</v>
      </c>
      <c r="I11" s="231">
        <v>1195.0999999999999</v>
      </c>
      <c r="J11" s="231">
        <v>913</v>
      </c>
      <c r="K11" s="231"/>
      <c r="L11" s="232">
        <f t="shared" si="0"/>
        <v>0.74867007304383015</v>
      </c>
      <c r="M11" s="232">
        <f t="shared" si="1"/>
        <v>11.318762134494323</v>
      </c>
      <c r="N11" s="232">
        <f t="shared" si="2"/>
        <v>16.097816082336209</v>
      </c>
      <c r="O11" s="232"/>
      <c r="P11" s="232">
        <f t="shared" si="3"/>
        <v>14.748849945235488</v>
      </c>
      <c r="Q11" s="70"/>
      <c r="R11" s="70"/>
      <c r="S11" s="70"/>
      <c r="T11" s="72"/>
    </row>
    <row r="12" spans="1:22" x14ac:dyDescent="0.3">
      <c r="B12" s="69" t="s">
        <v>215</v>
      </c>
      <c r="C12" s="231">
        <v>66.44</v>
      </c>
      <c r="D12" s="231">
        <v>14841.7</v>
      </c>
      <c r="E12" s="231">
        <v>13955.7</v>
      </c>
      <c r="F12" s="231"/>
      <c r="G12" s="231">
        <v>5590</v>
      </c>
      <c r="H12" s="231">
        <v>1080</v>
      </c>
      <c r="I12" s="231">
        <v>917</v>
      </c>
      <c r="J12" s="231">
        <v>592</v>
      </c>
      <c r="K12" s="231"/>
      <c r="L12" s="232">
        <f t="shared" si="0"/>
        <v>2.4965474060822901</v>
      </c>
      <c r="M12" s="232">
        <f t="shared" si="1"/>
        <v>12.921944444444446</v>
      </c>
      <c r="N12" s="232">
        <f t="shared" si="2"/>
        <v>15.21886586695747</v>
      </c>
      <c r="O12" s="232"/>
      <c r="P12" s="232">
        <f t="shared" si="3"/>
        <v>25.070439189189191</v>
      </c>
      <c r="Q12" s="70"/>
      <c r="R12" s="70"/>
      <c r="S12" s="70"/>
      <c r="T12" s="72"/>
    </row>
    <row r="13" spans="1:22" x14ac:dyDescent="0.3">
      <c r="B13" s="69" t="s">
        <v>216</v>
      </c>
      <c r="C13" s="231">
        <v>72.89</v>
      </c>
      <c r="D13" s="231">
        <v>54653.2</v>
      </c>
      <c r="E13" s="231">
        <v>100519.2</v>
      </c>
      <c r="F13" s="231"/>
      <c r="G13" s="231">
        <v>94224</v>
      </c>
      <c r="H13" s="231">
        <v>9982</v>
      </c>
      <c r="I13" s="231">
        <v>4907</v>
      </c>
      <c r="J13" s="231">
        <v>3250</v>
      </c>
      <c r="K13" s="231"/>
      <c r="L13" s="232">
        <f t="shared" si="0"/>
        <v>1.0668110035659704</v>
      </c>
      <c r="M13" s="232">
        <f t="shared" si="1"/>
        <v>10.070046082949309</v>
      </c>
      <c r="N13" s="232">
        <f t="shared" si="2"/>
        <v>20.484858365600161</v>
      </c>
      <c r="O13" s="232"/>
      <c r="P13" s="232">
        <f t="shared" si="3"/>
        <v>16.816369230769229</v>
      </c>
      <c r="Q13" s="70"/>
      <c r="R13" s="70"/>
      <c r="S13" s="70"/>
      <c r="T13" s="72"/>
    </row>
    <row r="14" spans="1:22" x14ac:dyDescent="0.3">
      <c r="B14" s="234" t="s">
        <v>177</v>
      </c>
      <c r="C14" s="97" t="s">
        <v>192</v>
      </c>
      <c r="D14" s="97" t="s">
        <v>192</v>
      </c>
      <c r="E14" s="235" t="s">
        <v>192</v>
      </c>
      <c r="F14" s="235" t="s">
        <v>192</v>
      </c>
      <c r="G14" s="235" t="s">
        <v>192</v>
      </c>
      <c r="H14" s="235" t="s">
        <v>192</v>
      </c>
      <c r="I14" s="235" t="s">
        <v>192</v>
      </c>
      <c r="J14" s="215" t="s">
        <v>192</v>
      </c>
      <c r="K14" s="215" t="s">
        <v>192</v>
      </c>
      <c r="L14" s="216">
        <f>AVERAGE(L7:L12)</f>
        <v>1.1124173807828801</v>
      </c>
      <c r="M14" s="216">
        <f>AVERAGE(M7:M12)</f>
        <v>9.3559577982332147</v>
      </c>
      <c r="N14" s="216">
        <f>AVERAGE(N7:N12)</f>
        <v>17.616856196254101</v>
      </c>
      <c r="O14" s="236"/>
      <c r="P14" s="216">
        <f>AVERAGE(P7,P10,P11,P12,P13)</f>
        <v>16.339154573652813</v>
      </c>
      <c r="Q14" s="97"/>
      <c r="R14" s="235"/>
      <c r="S14" s="235"/>
      <c r="T14" s="237"/>
    </row>
    <row r="15" spans="1:22" x14ac:dyDescent="0.3">
      <c r="B15" s="234" t="s">
        <v>217</v>
      </c>
      <c r="C15" s="97" t="s">
        <v>192</v>
      </c>
      <c r="D15" s="97" t="s">
        <v>192</v>
      </c>
      <c r="E15" s="235" t="s">
        <v>192</v>
      </c>
      <c r="F15" s="235" t="s">
        <v>192</v>
      </c>
      <c r="G15" s="235" t="s">
        <v>192</v>
      </c>
      <c r="H15" s="235" t="s">
        <v>192</v>
      </c>
      <c r="I15" s="235" t="s">
        <v>192</v>
      </c>
      <c r="J15" s="215" t="s">
        <v>192</v>
      </c>
      <c r="K15" s="215" t="s">
        <v>192</v>
      </c>
      <c r="L15" s="216">
        <f>MEDIAN(L7:L12)</f>
        <v>0.92162211679765438</v>
      </c>
      <c r="M15" s="216">
        <f>MEDIAN(M7:M12)</f>
        <v>9.1864348826450737</v>
      </c>
      <c r="N15" s="216">
        <f>MEDIAN(N7:N12)</f>
        <v>15.65834097464684</v>
      </c>
      <c r="O15" s="236"/>
      <c r="P15" s="216">
        <f>MEDIAN(P7:P12)</f>
        <v>14.385899242436938</v>
      </c>
      <c r="Q15" s="97"/>
      <c r="R15" s="235"/>
      <c r="S15" s="235"/>
      <c r="T15" s="237"/>
    </row>
    <row r="16" spans="1:22" x14ac:dyDescent="0.3">
      <c r="B16" s="234" t="s">
        <v>218</v>
      </c>
      <c r="C16" s="97"/>
      <c r="D16" s="97"/>
      <c r="E16" s="235"/>
      <c r="F16" s="235"/>
      <c r="G16" s="235"/>
      <c r="H16" s="235"/>
      <c r="I16" s="235"/>
      <c r="J16" s="215"/>
      <c r="K16" s="215"/>
      <c r="L16" s="216">
        <f>MAX(L7:L12)</f>
        <v>2.4965474060822901</v>
      </c>
      <c r="M16" s="216">
        <f>MAX(M7:M12)</f>
        <v>12.921944444444446</v>
      </c>
      <c r="N16" s="216">
        <f>MAX(N7:N12)</f>
        <v>38.397203947368418</v>
      </c>
      <c r="O16" s="236"/>
      <c r="P16" s="216">
        <f>MAX(P7:P12)</f>
        <v>102.80538922155688</v>
      </c>
      <c r="Q16" s="97"/>
      <c r="R16" s="235"/>
      <c r="S16" s="235"/>
      <c r="T16" s="237"/>
    </row>
    <row r="17" spans="1:20" x14ac:dyDescent="0.3">
      <c r="B17" s="234" t="s">
        <v>219</v>
      </c>
      <c r="C17" s="97"/>
      <c r="D17" s="97"/>
      <c r="E17" s="235"/>
      <c r="F17" s="235"/>
      <c r="G17" s="235"/>
      <c r="H17" s="235"/>
      <c r="I17" s="235"/>
      <c r="J17" s="215"/>
      <c r="K17" s="215"/>
      <c r="L17" s="216">
        <f>MIN(L7:L12)</f>
        <v>0.31078654590638449</v>
      </c>
      <c r="M17" s="216">
        <f>MIN(M7:M12)</f>
        <v>6.6281928541339559</v>
      </c>
      <c r="N17" s="216">
        <f>MIN(N7:N12)</f>
        <v>8.5811527671512362</v>
      </c>
      <c r="O17" s="236"/>
      <c r="P17" s="216">
        <f>MIN(P7:P12)</f>
        <v>-49.570807453416144</v>
      </c>
      <c r="Q17" s="97"/>
      <c r="R17" s="235"/>
      <c r="S17" s="235"/>
      <c r="T17" s="237"/>
    </row>
    <row r="18" spans="1:20" x14ac:dyDescent="0.3">
      <c r="A18"/>
    </row>
    <row r="19" spans="1:20" x14ac:dyDescent="0.3">
      <c r="A19"/>
      <c r="B19" s="221" t="s">
        <v>220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1"/>
      <c r="O19" s="222"/>
      <c r="P19" s="222"/>
      <c r="Q19" s="222"/>
      <c r="R19" s="222"/>
      <c r="S19" s="222"/>
      <c r="T19" s="222"/>
    </row>
    <row r="20" spans="1:20" x14ac:dyDescent="0.3">
      <c r="Q20" s="146"/>
    </row>
    <row r="21" spans="1:20" x14ac:dyDescent="0.3">
      <c r="B21" s="221" t="s">
        <v>179</v>
      </c>
      <c r="C21" s="222"/>
      <c r="D21" s="222"/>
      <c r="E21" s="223"/>
    </row>
    <row r="22" spans="1:20" x14ac:dyDescent="0.3">
      <c r="B22" s="225"/>
      <c r="C22" s="226" t="s">
        <v>201</v>
      </c>
      <c r="D22" s="226" t="s">
        <v>202</v>
      </c>
      <c r="E22" s="227" t="s">
        <v>203</v>
      </c>
    </row>
    <row r="23" spans="1:20" x14ac:dyDescent="0.3">
      <c r="B23" s="228" t="s">
        <v>221</v>
      </c>
      <c r="C23" s="229" t="s">
        <v>208</v>
      </c>
      <c r="D23" s="229" t="s">
        <v>208</v>
      </c>
      <c r="E23" s="230" t="s">
        <v>208</v>
      </c>
    </row>
    <row r="24" spans="1:20" x14ac:dyDescent="0.3">
      <c r="B24" s="69" t="s">
        <v>219</v>
      </c>
      <c r="C24" s="231">
        <f>L17*$G$13</f>
        <v>29283.551501483173</v>
      </c>
      <c r="D24" s="231">
        <f>M17*H13</f>
        <v>66162.621069965142</v>
      </c>
      <c r="E24" s="238">
        <f>N17*I13</f>
        <v>42107.716628411115</v>
      </c>
    </row>
    <row r="25" spans="1:20" x14ac:dyDescent="0.3">
      <c r="B25" s="69" t="s">
        <v>217</v>
      </c>
      <c r="C25" s="231">
        <f>L15*G13</f>
        <v>86838.922333142182</v>
      </c>
      <c r="D25" s="231">
        <f>M15*H13</f>
        <v>91698.992998563132</v>
      </c>
      <c r="E25" s="238">
        <f>N15*I13</f>
        <v>76835.479162592048</v>
      </c>
    </row>
    <row r="26" spans="1:20" x14ac:dyDescent="0.3">
      <c r="B26" s="69" t="s">
        <v>177</v>
      </c>
      <c r="C26" s="231">
        <f>L14*G13</f>
        <v>104816.4152868861</v>
      </c>
      <c r="D26" s="231">
        <f>M14*H13</f>
        <v>93391.170741963942</v>
      </c>
      <c r="E26" s="238">
        <f>N14*I13</f>
        <v>86445.913355018871</v>
      </c>
    </row>
    <row r="27" spans="1:20" x14ac:dyDescent="0.3">
      <c r="B27" s="74" t="s">
        <v>218</v>
      </c>
      <c r="C27" s="239">
        <f>L16*G13</f>
        <v>235234.6827906977</v>
      </c>
      <c r="D27" s="239">
        <f>M16*H13</f>
        <v>128986.84944444445</v>
      </c>
      <c r="E27" s="240">
        <f>N16*I13</f>
        <v>188415.07976973683</v>
      </c>
    </row>
    <row r="29" spans="1:20" x14ac:dyDescent="0.3">
      <c r="B29" s="79" t="s">
        <v>185</v>
      </c>
      <c r="C29" s="79"/>
      <c r="D29" s="79"/>
      <c r="E29" s="79"/>
      <c r="F29" s="217"/>
      <c r="G29" s="217"/>
      <c r="H29" s="217"/>
      <c r="I29" s="217"/>
      <c r="J29" s="217"/>
      <c r="K29" s="217"/>
      <c r="L29" s="217"/>
      <c r="M29" s="217"/>
      <c r="N29" s="217"/>
    </row>
    <row r="30" spans="1:20" x14ac:dyDescent="0.3">
      <c r="B30" s="71" t="s">
        <v>184</v>
      </c>
      <c r="C30" s="76"/>
      <c r="D30" s="76"/>
      <c r="E30" s="241"/>
    </row>
    <row r="31" spans="1:20" x14ac:dyDescent="0.3">
      <c r="B31" s="69" t="s">
        <v>186</v>
      </c>
      <c r="C31" s="76"/>
      <c r="D31" s="76"/>
      <c r="E31" s="238">
        <v>14201</v>
      </c>
    </row>
    <row r="32" spans="1:20" x14ac:dyDescent="0.3">
      <c r="B32" s="69" t="s">
        <v>187</v>
      </c>
      <c r="C32" s="76"/>
      <c r="D32" s="76"/>
      <c r="E32" s="238">
        <v>50207</v>
      </c>
    </row>
    <row r="33" spans="2:14" x14ac:dyDescent="0.3">
      <c r="B33" s="69" t="s">
        <v>188</v>
      </c>
      <c r="C33" s="76"/>
      <c r="D33" s="76"/>
      <c r="E33" s="238">
        <v>5074</v>
      </c>
    </row>
    <row r="34" spans="2:14" x14ac:dyDescent="0.3">
      <c r="B34" s="69" t="s">
        <v>222</v>
      </c>
      <c r="C34" s="76"/>
      <c r="D34" s="76"/>
      <c r="E34" s="238">
        <v>0</v>
      </c>
    </row>
    <row r="35" spans="2:14" x14ac:dyDescent="0.3">
      <c r="B35" s="69" t="s">
        <v>189</v>
      </c>
      <c r="C35" s="76"/>
      <c r="D35" s="76"/>
      <c r="E35" s="238">
        <v>0</v>
      </c>
    </row>
    <row r="36" spans="2:14" x14ac:dyDescent="0.3">
      <c r="B36" s="234" t="s">
        <v>8</v>
      </c>
      <c r="C36" s="127"/>
      <c r="D36" s="127"/>
      <c r="E36" s="242"/>
    </row>
    <row r="38" spans="2:14" x14ac:dyDescent="0.3">
      <c r="B38" s="79" t="s">
        <v>8</v>
      </c>
      <c r="C38" s="79" t="s">
        <v>195</v>
      </c>
      <c r="D38" s="79"/>
      <c r="E38" s="79"/>
      <c r="F38" s="79" t="s">
        <v>196</v>
      </c>
    </row>
    <row r="39" spans="2:14" x14ac:dyDescent="0.3">
      <c r="B39" s="79"/>
      <c r="C39" s="79" t="s">
        <v>201</v>
      </c>
      <c r="D39" s="79" t="s">
        <v>202</v>
      </c>
      <c r="E39" s="79" t="s">
        <v>203</v>
      </c>
      <c r="F39" s="79" t="s">
        <v>204</v>
      </c>
    </row>
    <row r="40" spans="2:14" x14ac:dyDescent="0.3">
      <c r="B40" s="79" t="s">
        <v>221</v>
      </c>
      <c r="C40" s="79" t="s">
        <v>208</v>
      </c>
      <c r="D40" s="79" t="s">
        <v>208</v>
      </c>
      <c r="E40" s="79" t="s">
        <v>208</v>
      </c>
      <c r="F40" s="79"/>
    </row>
    <row r="41" spans="2:14" x14ac:dyDescent="0.3">
      <c r="B41" s="218" t="s">
        <v>219</v>
      </c>
      <c r="C41" s="243">
        <f t="shared" ref="C41:E44" si="4">C24+$E$31-$E$32-$E$33</f>
        <v>-11796.448498516824</v>
      </c>
      <c r="D41" s="243">
        <f t="shared" si="4"/>
        <v>25082.621069965142</v>
      </c>
      <c r="E41" s="243">
        <f t="shared" si="4"/>
        <v>1027.7166284111154</v>
      </c>
      <c r="F41" s="241">
        <f>P17*J13</f>
        <v>-161105.12422360247</v>
      </c>
    </row>
    <row r="42" spans="2:14" x14ac:dyDescent="0.3">
      <c r="B42" s="219" t="s">
        <v>217</v>
      </c>
      <c r="C42" s="231">
        <f t="shared" si="4"/>
        <v>45758.922333142182</v>
      </c>
      <c r="D42" s="231">
        <f t="shared" si="4"/>
        <v>50618.992998563132</v>
      </c>
      <c r="E42" s="231">
        <f t="shared" si="4"/>
        <v>35755.479162592048</v>
      </c>
      <c r="F42" s="238">
        <f>P15*J13</f>
        <v>46754.172537920051</v>
      </c>
    </row>
    <row r="43" spans="2:14" x14ac:dyDescent="0.3">
      <c r="B43" s="219" t="s">
        <v>177</v>
      </c>
      <c r="C43" s="231">
        <f t="shared" si="4"/>
        <v>63736.415286886098</v>
      </c>
      <c r="D43" s="231">
        <f t="shared" si="4"/>
        <v>52311.170741963942</v>
      </c>
      <c r="E43" s="231">
        <f t="shared" si="4"/>
        <v>45365.913355018871</v>
      </c>
      <c r="F43" s="238">
        <f>P14*J13</f>
        <v>53102.252364371641</v>
      </c>
    </row>
    <row r="44" spans="2:14" x14ac:dyDescent="0.3">
      <c r="B44" s="220" t="s">
        <v>218</v>
      </c>
      <c r="C44" s="239">
        <f t="shared" si="4"/>
        <v>194154.6827906977</v>
      </c>
      <c r="D44" s="239">
        <f t="shared" si="4"/>
        <v>87906.849444444466</v>
      </c>
      <c r="E44" s="239">
        <f t="shared" si="4"/>
        <v>147335.07976973683</v>
      </c>
      <c r="F44" s="240">
        <f>P16*J13</f>
        <v>334117.51497005986</v>
      </c>
    </row>
    <row r="46" spans="2:14" x14ac:dyDescent="0.3">
      <c r="B46" s="244" t="s">
        <v>21</v>
      </c>
      <c r="C46" s="79"/>
      <c r="D46" s="79"/>
      <c r="E46" s="79"/>
      <c r="F46" s="79"/>
      <c r="G46" s="217"/>
      <c r="H46" s="217"/>
      <c r="I46" s="217"/>
      <c r="J46" s="217"/>
      <c r="K46" s="217"/>
      <c r="L46" s="217"/>
      <c r="M46" s="217"/>
      <c r="N46" s="217"/>
    </row>
    <row r="47" spans="2:14" x14ac:dyDescent="0.3">
      <c r="B47" s="245">
        <v>749.8</v>
      </c>
      <c r="C47" s="19"/>
      <c r="D47" s="19"/>
      <c r="E47" s="19"/>
      <c r="F47" s="20"/>
    </row>
    <row r="49" spans="2:20" x14ac:dyDescent="0.3">
      <c r="B49" s="79" t="s">
        <v>223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1" spans="2:20" x14ac:dyDescent="0.3">
      <c r="B51" s="79"/>
      <c r="C51" s="79" t="s">
        <v>195</v>
      </c>
      <c r="D51" s="79"/>
      <c r="E51" s="79"/>
      <c r="F51" s="79" t="s">
        <v>196</v>
      </c>
    </row>
    <row r="52" spans="2:20" x14ac:dyDescent="0.3">
      <c r="B52" s="79"/>
      <c r="C52" s="79" t="s">
        <v>201</v>
      </c>
      <c r="D52" s="79" t="s">
        <v>202</v>
      </c>
      <c r="E52" s="79" t="s">
        <v>203</v>
      </c>
      <c r="F52" s="79" t="s">
        <v>204</v>
      </c>
    </row>
    <row r="53" spans="2:20" x14ac:dyDescent="0.3">
      <c r="B53" s="79" t="s">
        <v>221</v>
      </c>
      <c r="C53" s="79" t="s">
        <v>208</v>
      </c>
      <c r="D53" s="79" t="s">
        <v>208</v>
      </c>
      <c r="E53" s="79" t="s">
        <v>208</v>
      </c>
      <c r="F53" s="79"/>
    </row>
    <row r="54" spans="2:20" x14ac:dyDescent="0.3">
      <c r="B54" s="218" t="s">
        <v>219</v>
      </c>
      <c r="C54" s="246">
        <f t="shared" ref="C54:F57" si="5">C41/$B$47</f>
        <v>-15.732793409598326</v>
      </c>
      <c r="D54" s="246">
        <f t="shared" si="5"/>
        <v>33.452415404061277</v>
      </c>
      <c r="E54" s="246">
        <f t="shared" si="5"/>
        <v>1.3706543457070091</v>
      </c>
      <c r="F54" s="247">
        <f t="shared" si="5"/>
        <v>-214.8641293993098</v>
      </c>
    </row>
    <row r="55" spans="2:20" x14ac:dyDescent="0.3">
      <c r="B55" s="219" t="s">
        <v>217</v>
      </c>
      <c r="C55" s="248">
        <f t="shared" si="5"/>
        <v>61.028170623022383</v>
      </c>
      <c r="D55" s="248">
        <f t="shared" si="5"/>
        <v>67.509993329638746</v>
      </c>
      <c r="E55" s="248">
        <f t="shared" si="5"/>
        <v>47.686688667100626</v>
      </c>
      <c r="F55" s="249">
        <f t="shared" si="5"/>
        <v>62.355524857188655</v>
      </c>
    </row>
    <row r="56" spans="2:20" x14ac:dyDescent="0.3">
      <c r="B56" s="219" t="s">
        <v>177</v>
      </c>
      <c r="C56" s="248">
        <f t="shared" si="5"/>
        <v>85.004554930496269</v>
      </c>
      <c r="D56" s="248">
        <f t="shared" si="5"/>
        <v>69.766832144523804</v>
      </c>
      <c r="E56" s="248">
        <f t="shared" si="5"/>
        <v>60.504018878392735</v>
      </c>
      <c r="F56" s="249">
        <f t="shared" si="5"/>
        <v>70.821888989559412</v>
      </c>
      <c r="G56" s="123">
        <f>AVERAGE(C56:F56)</f>
        <v>71.524323735743053</v>
      </c>
    </row>
    <row r="57" spans="2:20" x14ac:dyDescent="0.3">
      <c r="B57" s="220" t="s">
        <v>218</v>
      </c>
      <c r="C57" s="250">
        <f t="shared" si="5"/>
        <v>258.94196157735092</v>
      </c>
      <c r="D57" s="250">
        <f t="shared" si="5"/>
        <v>117.24039669837886</v>
      </c>
      <c r="E57" s="250">
        <f t="shared" si="5"/>
        <v>196.49917280573064</v>
      </c>
      <c r="F57" s="251">
        <f t="shared" si="5"/>
        <v>445.60884898647623</v>
      </c>
    </row>
  </sheetData>
  <mergeCells count="1">
    <mergeCell ref="A1:XF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F12E-B9A4-423E-B1FE-16CF77CC3A02}">
  <dimension ref="B2:K47"/>
  <sheetViews>
    <sheetView showGridLines="0" zoomScale="80" zoomScaleNormal="80" workbookViewId="0">
      <selection activeCell="H55" sqref="H55"/>
    </sheetView>
  </sheetViews>
  <sheetFormatPr defaultColWidth="8.85546875" defaultRowHeight="16.5" x14ac:dyDescent="0.3"/>
  <cols>
    <col min="1" max="1" width="8.85546875" style="1"/>
    <col min="2" max="2" width="31.140625" style="1" bestFit="1" customWidth="1"/>
    <col min="3" max="3" width="22.42578125" style="1" bestFit="1" customWidth="1"/>
    <col min="4" max="4" width="8.85546875" style="1"/>
    <col min="5" max="11" width="21.140625" style="1" bestFit="1" customWidth="1"/>
    <col min="12" max="16384" width="8.85546875" style="1"/>
  </cols>
  <sheetData>
    <row r="2" spans="2:5" x14ac:dyDescent="0.3">
      <c r="B2" s="226" t="s">
        <v>224</v>
      </c>
      <c r="C2" s="356" t="s">
        <v>225</v>
      </c>
      <c r="D2" s="357"/>
    </row>
    <row r="4" spans="2:5" x14ac:dyDescent="0.3">
      <c r="B4" s="221" t="s">
        <v>226</v>
      </c>
      <c r="C4" s="226"/>
      <c r="D4" s="75"/>
    </row>
    <row r="5" spans="2:5" x14ac:dyDescent="0.3">
      <c r="B5" s="120"/>
      <c r="C5" s="1" t="s">
        <v>227</v>
      </c>
      <c r="D5" s="24"/>
    </row>
    <row r="6" spans="2:5" x14ac:dyDescent="0.3">
      <c r="B6" s="3" t="s">
        <v>228</v>
      </c>
      <c r="C6" s="1" t="s">
        <v>229</v>
      </c>
      <c r="D6" s="302">
        <f>-'Income Statement'!G22</f>
        <v>2389</v>
      </c>
    </row>
    <row r="7" spans="2:5" x14ac:dyDescent="0.3">
      <c r="B7" s="3" t="s">
        <v>230</v>
      </c>
      <c r="C7" s="1" t="s">
        <v>229</v>
      </c>
      <c r="D7" s="303">
        <f>'Balance Sheet'!G25</f>
        <v>6362</v>
      </c>
    </row>
    <row r="8" spans="2:5" x14ac:dyDescent="0.3">
      <c r="B8" s="3" t="s">
        <v>231</v>
      </c>
      <c r="C8" s="1" t="s">
        <v>229</v>
      </c>
      <c r="D8" s="303">
        <f>'Balance Sheet'!G32</f>
        <v>41622</v>
      </c>
    </row>
    <row r="9" spans="2:5" x14ac:dyDescent="0.3">
      <c r="B9" s="3" t="s">
        <v>232</v>
      </c>
      <c r="C9" s="1" t="s">
        <v>229</v>
      </c>
      <c r="D9" s="304">
        <v>4.9799999999999997E-2</v>
      </c>
    </row>
    <row r="10" spans="2:5" x14ac:dyDescent="0.3">
      <c r="B10" s="3" t="s">
        <v>233</v>
      </c>
      <c r="C10" s="1" t="s">
        <v>229</v>
      </c>
      <c r="D10" s="302">
        <f>'Income Statement'!G39</f>
        <v>165</v>
      </c>
    </row>
    <row r="11" spans="2:5" x14ac:dyDescent="0.3">
      <c r="B11" s="3" t="s">
        <v>234</v>
      </c>
      <c r="C11" s="1" t="s">
        <v>229</v>
      </c>
      <c r="D11" s="302">
        <f>'Income Statement'!G37</f>
        <v>3670</v>
      </c>
    </row>
    <row r="12" spans="2:5" x14ac:dyDescent="0.3">
      <c r="B12" s="119" t="s">
        <v>235</v>
      </c>
      <c r="C12" s="4" t="s">
        <v>236</v>
      </c>
      <c r="D12" s="305">
        <f>D10/D11</f>
        <v>4.4959128065395093E-2</v>
      </c>
    </row>
    <row r="13" spans="2:5" x14ac:dyDescent="0.3">
      <c r="B13" s="252" t="s">
        <v>237</v>
      </c>
      <c r="C13" s="253" t="s">
        <v>236</v>
      </c>
      <c r="D13" s="306">
        <f>D9*(1-D12)</f>
        <v>4.7561035422343322E-2</v>
      </c>
    </row>
    <row r="14" spans="2:5" x14ac:dyDescent="0.3">
      <c r="D14" s="96"/>
    </row>
    <row r="15" spans="2:5" x14ac:dyDescent="0.3">
      <c r="B15" s="226" t="s">
        <v>238</v>
      </c>
      <c r="C15" s="226"/>
      <c r="D15" s="316"/>
    </row>
    <row r="16" spans="2:5" x14ac:dyDescent="0.3">
      <c r="B16" s="120" t="s">
        <v>239</v>
      </c>
      <c r="C16" s="83"/>
      <c r="D16" s="307">
        <v>1.6400000000000001E-2</v>
      </c>
      <c r="E16" s="1" t="s">
        <v>240</v>
      </c>
    </row>
    <row r="17" spans="2:8" x14ac:dyDescent="0.3">
      <c r="B17" s="3" t="s">
        <v>241</v>
      </c>
      <c r="D17" s="308">
        <f>'Beta Calculation'!H7</f>
        <v>0.861901370460885</v>
      </c>
      <c r="E17" s="1" t="s">
        <v>242</v>
      </c>
    </row>
    <row r="18" spans="2:8" x14ac:dyDescent="0.3">
      <c r="B18" s="119" t="s">
        <v>243</v>
      </c>
      <c r="C18" s="4"/>
      <c r="D18" s="309">
        <v>5.5E-2</v>
      </c>
      <c r="E18" s="1" t="s">
        <v>244</v>
      </c>
    </row>
    <row r="19" spans="2:8" x14ac:dyDescent="0.3">
      <c r="B19" s="254" t="s">
        <v>245</v>
      </c>
      <c r="C19" s="106"/>
      <c r="D19" s="310">
        <f>(D16+(D18*D17))</f>
        <v>6.3804575375348671E-2</v>
      </c>
    </row>
    <row r="20" spans="2:8" x14ac:dyDescent="0.3">
      <c r="D20" s="96"/>
    </row>
    <row r="21" spans="2:8" x14ac:dyDescent="0.3">
      <c r="B21" s="221" t="s">
        <v>246</v>
      </c>
      <c r="C21" s="222"/>
      <c r="D21" s="317"/>
    </row>
    <row r="22" spans="2:8" x14ac:dyDescent="0.3">
      <c r="B22" s="120" t="s">
        <v>247</v>
      </c>
      <c r="C22" s="83"/>
      <c r="D22" s="311">
        <f>SUM(D7:D8)</f>
        <v>47984</v>
      </c>
    </row>
    <row r="23" spans="2:8" x14ac:dyDescent="0.3">
      <c r="B23" s="3" t="s">
        <v>248</v>
      </c>
      <c r="D23" s="312">
        <f>41828.9</f>
        <v>41828.9</v>
      </c>
    </row>
    <row r="24" spans="2:8" x14ac:dyDescent="0.3">
      <c r="B24" s="3" t="s">
        <v>249</v>
      </c>
      <c r="D24" s="303">
        <f>D22+D23</f>
        <v>89812.9</v>
      </c>
    </row>
    <row r="25" spans="2:8" x14ac:dyDescent="0.3">
      <c r="B25" s="255" t="s">
        <v>250</v>
      </c>
      <c r="C25" s="256"/>
      <c r="D25" s="313">
        <f>D22/D24</f>
        <v>0.53426623569665388</v>
      </c>
    </row>
    <row r="26" spans="2:8" x14ac:dyDescent="0.3">
      <c r="B26" s="257" t="s">
        <v>251</v>
      </c>
      <c r="C26" s="258"/>
      <c r="D26" s="314">
        <f>D23/D24</f>
        <v>0.46573376430334623</v>
      </c>
    </row>
    <row r="27" spans="2:8" x14ac:dyDescent="0.3">
      <c r="D27" s="96"/>
    </row>
    <row r="28" spans="2:8" x14ac:dyDescent="0.3">
      <c r="B28" s="226" t="s">
        <v>252</v>
      </c>
      <c r="C28" s="226"/>
      <c r="D28" s="318"/>
    </row>
    <row r="29" spans="2:8" x14ac:dyDescent="0.3">
      <c r="B29" s="252" t="s">
        <v>253</v>
      </c>
      <c r="C29" s="253"/>
      <c r="D29" s="315">
        <f>D19*D26+D25*D13</f>
        <v>5.5126200430268307E-2</v>
      </c>
    </row>
    <row r="31" spans="2:8" x14ac:dyDescent="0.3">
      <c r="B31" s="338"/>
      <c r="C31" s="79"/>
      <c r="D31" s="79"/>
      <c r="E31" s="79"/>
      <c r="F31" s="338" t="s">
        <v>423</v>
      </c>
      <c r="G31" s="79"/>
      <c r="H31" s="339"/>
    </row>
    <row r="32" spans="2:8" x14ac:dyDescent="0.3">
      <c r="B32" s="338"/>
      <c r="C32" s="337">
        <v>5.5100000000000003E-2</v>
      </c>
      <c r="D32" s="337">
        <v>3.7600000000000001E-2</v>
      </c>
      <c r="E32" s="337">
        <v>4.2599999999999999E-2</v>
      </c>
      <c r="F32" s="337">
        <v>4.7599999999999996E-2</v>
      </c>
      <c r="G32" s="337">
        <v>5.2599999999999994E-2</v>
      </c>
      <c r="H32" s="337">
        <v>5.7599999999999991E-2</v>
      </c>
    </row>
    <row r="33" spans="2:11" x14ac:dyDescent="0.3">
      <c r="B33" s="338"/>
      <c r="C33" s="337">
        <v>0.48430000000000001</v>
      </c>
      <c r="D33" s="334">
        <v>4.7876745069337728E-2</v>
      </c>
      <c r="E33" s="334">
        <v>5.0291745069337729E-2</v>
      </c>
      <c r="F33" s="334">
        <v>5.2699999999999997E-2</v>
      </c>
      <c r="G33" s="334">
        <v>5.512174506933773E-2</v>
      </c>
      <c r="H33" s="334">
        <v>5.753674506933773E-2</v>
      </c>
      <c r="I33" s="259"/>
      <c r="J33" s="259"/>
      <c r="K33" s="259"/>
    </row>
    <row r="34" spans="2:11" x14ac:dyDescent="0.3">
      <c r="B34" s="338"/>
      <c r="C34" s="337">
        <v>0.50929999999999997</v>
      </c>
      <c r="D34" s="334">
        <v>4.8865625069337726E-2</v>
      </c>
      <c r="E34" s="334">
        <v>5.1412125069337726E-2</v>
      </c>
      <c r="F34" s="334">
        <v>5.3958625069337726E-2</v>
      </c>
      <c r="G34" s="334">
        <v>5.6505125069337726E-2</v>
      </c>
      <c r="H34" s="334">
        <v>5.9051625069337726E-2</v>
      </c>
    </row>
    <row r="35" spans="2:11" x14ac:dyDescent="0.3">
      <c r="B35" s="338" t="s">
        <v>250</v>
      </c>
      <c r="C35" s="337">
        <v>0.53426623569665388</v>
      </c>
      <c r="D35" s="334">
        <v>4.9805625069337729E-2</v>
      </c>
      <c r="E35" s="334">
        <v>5.2477125069337729E-2</v>
      </c>
      <c r="F35" s="334">
        <v>5.514862506933773E-2</v>
      </c>
      <c r="G35" s="334">
        <v>5.782012506933773E-2</v>
      </c>
      <c r="H35" s="334">
        <v>6.0491625069337723E-2</v>
      </c>
    </row>
    <row r="36" spans="2:11" x14ac:dyDescent="0.3">
      <c r="B36" s="338"/>
      <c r="C36" s="337">
        <v>0.55930000000000002</v>
      </c>
      <c r="D36" s="334">
        <v>5.0745625069337733E-2</v>
      </c>
      <c r="E36" s="334">
        <v>5.3542125069337726E-2</v>
      </c>
      <c r="F36" s="334">
        <v>5.6338625069337733E-2</v>
      </c>
      <c r="G36" s="334">
        <v>5.9135125069337727E-2</v>
      </c>
      <c r="H36" s="334">
        <v>6.1931625069337734E-2</v>
      </c>
    </row>
    <row r="37" spans="2:11" x14ac:dyDescent="0.3">
      <c r="B37" s="338"/>
      <c r="C37" s="337">
        <v>0.58430000000000004</v>
      </c>
      <c r="D37" s="334">
        <v>5.187362506933773E-2</v>
      </c>
      <c r="E37" s="334">
        <v>5.4820125069337727E-2</v>
      </c>
      <c r="F37" s="334">
        <v>5.7766625069337732E-2</v>
      </c>
      <c r="G37" s="334">
        <v>6.071312506933773E-2</v>
      </c>
      <c r="H37" s="334">
        <v>6.3659625069337727E-2</v>
      </c>
    </row>
    <row r="38" spans="2:11" x14ac:dyDescent="0.3">
      <c r="C38" s="259"/>
      <c r="D38" s="260"/>
      <c r="E38" s="260"/>
      <c r="F38" s="260"/>
      <c r="G38" s="260"/>
      <c r="H38" s="260"/>
    </row>
    <row r="39" spans="2:11" x14ac:dyDescent="0.3">
      <c r="C39" s="259"/>
      <c r="D39" s="260"/>
      <c r="E39" s="260"/>
      <c r="F39" s="260"/>
      <c r="G39" s="260"/>
      <c r="H39" s="260"/>
    </row>
    <row r="40" spans="2:11" x14ac:dyDescent="0.3">
      <c r="B40" s="79"/>
      <c r="C40" s="337"/>
      <c r="D40" s="342"/>
      <c r="E40" s="342"/>
      <c r="F40" s="342" t="s">
        <v>245</v>
      </c>
      <c r="G40" s="342"/>
      <c r="H40" s="342"/>
    </row>
    <row r="41" spans="2:11" x14ac:dyDescent="0.3">
      <c r="B41" s="79"/>
      <c r="C41" s="342">
        <f>D29</f>
        <v>5.5126200430268307E-2</v>
      </c>
      <c r="D41" s="342">
        <f>E41-0.5%</f>
        <v>5.3804575375348676E-2</v>
      </c>
      <c r="E41" s="342">
        <f>F41-0.5%</f>
        <v>5.8804575375348674E-2</v>
      </c>
      <c r="F41" s="342">
        <f>D19</f>
        <v>6.3804575375348671E-2</v>
      </c>
      <c r="G41" s="342">
        <f>F41+0.005</f>
        <v>6.8804575375348676E-2</v>
      </c>
      <c r="H41" s="342">
        <f>G41+0.005</f>
        <v>7.380457537534868E-2</v>
      </c>
    </row>
    <row r="42" spans="2:11" x14ac:dyDescent="0.3">
      <c r="B42" s="79"/>
      <c r="C42" s="337">
        <f>C43-0.025</f>
        <v>0.41573376430334619</v>
      </c>
      <c r="D42" s="260">
        <v>4.7800000000000002E-2</v>
      </c>
      <c r="E42" s="260">
        <v>4.99E-2</v>
      </c>
      <c r="F42" s="260">
        <v>5.1900000000000002E-2</v>
      </c>
      <c r="G42" s="260">
        <v>5.3999999999999999E-2</v>
      </c>
      <c r="H42" s="260">
        <v>5.6099999999999997E-2</v>
      </c>
    </row>
    <row r="43" spans="2:11" x14ac:dyDescent="0.3">
      <c r="B43" s="79" t="s">
        <v>254</v>
      </c>
      <c r="C43" s="337">
        <f>C44-2.5%</f>
        <v>0.44073376430334621</v>
      </c>
      <c r="D43" s="259">
        <v>4.9099999999999998E-2</v>
      </c>
      <c r="E43" s="259">
        <v>5.1299999999999998E-2</v>
      </c>
      <c r="F43" s="259">
        <v>5.3499999999999999E-2</v>
      </c>
      <c r="G43" s="259">
        <v>5.57E-2</v>
      </c>
      <c r="H43" s="259">
        <v>5.79E-2</v>
      </c>
    </row>
    <row r="44" spans="2:11" x14ac:dyDescent="0.3">
      <c r="B44" s="79"/>
      <c r="C44" s="337">
        <f>D26</f>
        <v>0.46573376430334623</v>
      </c>
      <c r="D44" s="259">
        <v>5.0500000000000003E-2</v>
      </c>
      <c r="E44" s="259">
        <v>5.28E-2</v>
      </c>
      <c r="F44" s="259">
        <v>5.5100000000000003E-2</v>
      </c>
      <c r="G44" s="259">
        <v>5.7500000000000002E-2</v>
      </c>
      <c r="H44" s="259">
        <v>5.9799999999999999E-2</v>
      </c>
    </row>
    <row r="45" spans="2:11" x14ac:dyDescent="0.3">
      <c r="B45" s="79"/>
      <c r="C45" s="337">
        <f>C44+2.5%</f>
        <v>0.49073376430334625</v>
      </c>
      <c r="D45" s="259">
        <v>5.1799999999999999E-2</v>
      </c>
      <c r="E45" s="259">
        <v>5.4300000000000001E-2</v>
      </c>
      <c r="F45" s="259">
        <v>5.67E-2</v>
      </c>
      <c r="G45" s="259">
        <v>5.9200000000000003E-2</v>
      </c>
      <c r="H45" s="259">
        <v>6.1600000000000002E-2</v>
      </c>
    </row>
    <row r="46" spans="2:11" x14ac:dyDescent="0.3">
      <c r="B46" s="79"/>
      <c r="C46" s="337">
        <f>C45+2.5%</f>
        <v>0.51573376430334628</v>
      </c>
      <c r="D46" s="259">
        <v>5.3199999999999997E-2</v>
      </c>
      <c r="E46" s="259">
        <v>5.57E-2</v>
      </c>
      <c r="F46" s="259">
        <v>5.8299999999999998E-2</v>
      </c>
      <c r="G46" s="259">
        <v>6.0900000000000003E-2</v>
      </c>
      <c r="H46" s="259">
        <v>6.3500000000000001E-2</v>
      </c>
    </row>
    <row r="47" spans="2:11" x14ac:dyDescent="0.3">
      <c r="D47" s="259"/>
      <c r="E47" s="259"/>
      <c r="F47" s="259"/>
      <c r="G47" s="259"/>
      <c r="H47" s="259"/>
    </row>
  </sheetData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0A7A-602B-45F0-A6F3-5310C27B5739}">
  <dimension ref="A3:J65"/>
  <sheetViews>
    <sheetView workbookViewId="0">
      <selection activeCell="G58" sqref="G58"/>
    </sheetView>
  </sheetViews>
  <sheetFormatPr defaultColWidth="8.85546875" defaultRowHeight="16.5" x14ac:dyDescent="0.3"/>
  <cols>
    <col min="1" max="1" width="11.5703125" style="1" bestFit="1" customWidth="1"/>
    <col min="2" max="3" width="9.5703125" style="1" bestFit="1" customWidth="1"/>
    <col min="4" max="4" width="15.140625" style="1" bestFit="1" customWidth="1"/>
    <col min="5" max="5" width="16.85546875" style="1" bestFit="1" customWidth="1"/>
    <col min="6" max="6" width="8.85546875" style="1"/>
    <col min="7" max="7" width="32.85546875" style="1" bestFit="1" customWidth="1"/>
    <col min="8" max="8" width="20.140625" style="1" bestFit="1" customWidth="1"/>
    <col min="9" max="16384" width="8.85546875" style="1"/>
  </cols>
  <sheetData>
    <row r="3" spans="1:8" x14ac:dyDescent="0.3">
      <c r="A3" s="79"/>
      <c r="B3" s="79" t="s">
        <v>255</v>
      </c>
      <c r="C3" s="79" t="s">
        <v>256</v>
      </c>
      <c r="D3" s="79"/>
      <c r="E3" s="79"/>
    </row>
    <row r="4" spans="1:8" x14ac:dyDescent="0.3">
      <c r="A4" s="79" t="s">
        <v>257</v>
      </c>
      <c r="B4" s="79" t="s">
        <v>258</v>
      </c>
      <c r="C4" s="79" t="s">
        <v>258</v>
      </c>
      <c r="D4" s="79" t="s">
        <v>259</v>
      </c>
      <c r="E4" s="79" t="s">
        <v>260</v>
      </c>
    </row>
    <row r="5" spans="1:8" x14ac:dyDescent="0.3">
      <c r="A5" s="261">
        <v>44524</v>
      </c>
      <c r="B5" s="262">
        <v>469.44000199999999</v>
      </c>
      <c r="C5" s="262">
        <v>57.299999</v>
      </c>
      <c r="D5" s="263">
        <f t="shared" ref="D5:D36" si="0">LN(B5/B6)</f>
        <v>0</v>
      </c>
      <c r="E5" s="264">
        <f t="shared" ref="E5:E36" si="1">LN(C5/C6)</f>
        <v>0</v>
      </c>
    </row>
    <row r="6" spans="1:8" x14ac:dyDescent="0.3">
      <c r="A6" s="261">
        <v>44501</v>
      </c>
      <c r="B6" s="262">
        <v>469.44000199999999</v>
      </c>
      <c r="C6" s="262">
        <v>57.299999</v>
      </c>
      <c r="D6" s="263">
        <f t="shared" si="0"/>
        <v>2.1945775119777106E-2</v>
      </c>
      <c r="E6" s="264">
        <f t="shared" si="1"/>
        <v>2.7466371748413165E-2</v>
      </c>
      <c r="G6" s="79" t="s">
        <v>238</v>
      </c>
      <c r="H6" s="79"/>
    </row>
    <row r="7" spans="1:8" x14ac:dyDescent="0.3">
      <c r="A7" s="261">
        <v>44470</v>
      </c>
      <c r="B7" s="262">
        <v>459.25</v>
      </c>
      <c r="C7" s="262">
        <v>55.747593000000002</v>
      </c>
      <c r="D7" s="263">
        <f t="shared" si="0"/>
        <v>7.1010009917127692E-2</v>
      </c>
      <c r="E7" s="264">
        <f t="shared" si="1"/>
        <v>5.561402828518372E-2</v>
      </c>
      <c r="G7" s="3" t="s">
        <v>261</v>
      </c>
      <c r="H7" s="265">
        <f>SLOPE(E6:E64,D6:D64)</f>
        <v>0.861901370460885</v>
      </c>
    </row>
    <row r="8" spans="1:8" x14ac:dyDescent="0.3">
      <c r="A8" s="261">
        <v>44440</v>
      </c>
      <c r="B8" s="262">
        <v>427.76959199999999</v>
      </c>
      <c r="C8" s="262">
        <v>52.731879999999997</v>
      </c>
      <c r="D8" s="263">
        <f t="shared" si="0"/>
        <v>-5.0925014223087976E-2</v>
      </c>
      <c r="E8" s="264">
        <f t="shared" si="1"/>
        <v>6.5333387302850973E-2</v>
      </c>
      <c r="G8" s="3" t="s">
        <v>262</v>
      </c>
      <c r="H8" s="263">
        <f>RSQ(E6:E64,D6:D64)</f>
        <v>0.20348782007311975</v>
      </c>
    </row>
    <row r="9" spans="1:8" x14ac:dyDescent="0.3">
      <c r="A9" s="261">
        <v>44409</v>
      </c>
      <c r="B9" s="262">
        <v>450.11798099999999</v>
      </c>
      <c r="C9" s="262">
        <v>49.396858000000002</v>
      </c>
      <c r="D9" s="263">
        <f t="shared" si="0"/>
        <v>2.9325649447784548E-2</v>
      </c>
      <c r="E9" s="264">
        <f t="shared" si="1"/>
        <v>8.656266115759037E-3</v>
      </c>
      <c r="G9" s="3" t="s">
        <v>263</v>
      </c>
      <c r="H9" s="266">
        <v>1.6400000000000001E-2</v>
      </c>
    </row>
    <row r="10" spans="1:8" x14ac:dyDescent="0.3">
      <c r="A10" s="261">
        <v>44378</v>
      </c>
      <c r="B10" s="262">
        <v>437.10964999999999</v>
      </c>
      <c r="C10" s="262">
        <v>48.971111000000001</v>
      </c>
      <c r="D10" s="263">
        <f t="shared" si="0"/>
        <v>2.7385502894219139E-2</v>
      </c>
      <c r="E10" s="264">
        <f t="shared" si="1"/>
        <v>-3.1078944778070546E-2</v>
      </c>
      <c r="G10" s="3" t="s">
        <v>264</v>
      </c>
      <c r="H10" s="266">
        <v>5.5E-2</v>
      </c>
    </row>
    <row r="11" spans="1:8" x14ac:dyDescent="0.3">
      <c r="A11" s="261">
        <v>44348</v>
      </c>
      <c r="B11" s="262">
        <v>425.301605</v>
      </c>
      <c r="C11" s="262">
        <v>50.516978999999999</v>
      </c>
      <c r="D11" s="263">
        <f t="shared" si="0"/>
        <v>1.8913436070459984E-2</v>
      </c>
      <c r="E11" s="264">
        <f t="shared" si="1"/>
        <v>1.0387897307731759E-2</v>
      </c>
      <c r="G11" s="267" t="s">
        <v>245</v>
      </c>
      <c r="H11" s="350">
        <f>H9+H7*H10</f>
        <v>6.3804575375348671E-2</v>
      </c>
    </row>
    <row r="12" spans="1:8" x14ac:dyDescent="0.3">
      <c r="A12" s="261">
        <v>44317</v>
      </c>
      <c r="B12" s="262">
        <v>417.333282</v>
      </c>
      <c r="C12" s="262">
        <v>49.994929999999997</v>
      </c>
      <c r="D12" s="263">
        <f t="shared" si="0"/>
        <v>6.5445751633580887E-3</v>
      </c>
      <c r="E12" s="264">
        <f t="shared" si="1"/>
        <v>3.1476473179024955E-3</v>
      </c>
    </row>
    <row r="13" spans="1:8" x14ac:dyDescent="0.3">
      <c r="A13" s="261">
        <v>44287</v>
      </c>
      <c r="B13" s="262">
        <v>414.61093099999999</v>
      </c>
      <c r="C13" s="262">
        <v>49.837811000000002</v>
      </c>
      <c r="D13" s="263">
        <f t="shared" si="0"/>
        <v>5.4828053369233895E-2</v>
      </c>
      <c r="E13" s="264">
        <f t="shared" si="1"/>
        <v>0.10928929564651368</v>
      </c>
    </row>
    <row r="14" spans="1:8" x14ac:dyDescent="0.3">
      <c r="A14" s="261">
        <v>44256</v>
      </c>
      <c r="B14" s="262">
        <v>392.49056999999999</v>
      </c>
      <c r="C14" s="262">
        <v>44.678153999999999</v>
      </c>
      <c r="D14" s="263">
        <f t="shared" si="0"/>
        <v>4.1129069209196734E-2</v>
      </c>
      <c r="E14" s="264">
        <f t="shared" si="1"/>
        <v>8.3726932130256795E-2</v>
      </c>
    </row>
    <row r="15" spans="1:8" x14ac:dyDescent="0.3">
      <c r="A15" s="261">
        <v>44228</v>
      </c>
      <c r="B15" s="262">
        <v>376.67526199999998</v>
      </c>
      <c r="C15" s="262">
        <v>41.089709999999997</v>
      </c>
      <c r="D15" s="263">
        <f t="shared" si="0"/>
        <v>2.7425890381574666E-2</v>
      </c>
      <c r="E15" s="264">
        <f t="shared" si="1"/>
        <v>0.10636148321523438</v>
      </c>
    </row>
    <row r="16" spans="1:8" x14ac:dyDescent="0.3">
      <c r="A16" s="261">
        <v>44197</v>
      </c>
      <c r="B16" s="262">
        <v>366.48498499999999</v>
      </c>
      <c r="C16" s="262">
        <v>36.943741000000003</v>
      </c>
      <c r="D16" s="263">
        <f t="shared" si="0"/>
        <v>-5.9891185838041143E-3</v>
      </c>
      <c r="E16" s="264">
        <f t="shared" si="1"/>
        <v>-5.4726929269184729E-3</v>
      </c>
    </row>
    <row r="17" spans="1:10" x14ac:dyDescent="0.3">
      <c r="A17" s="261">
        <v>44166</v>
      </c>
      <c r="B17" s="262">
        <v>368.68649299999998</v>
      </c>
      <c r="C17" s="262">
        <v>37.146476999999997</v>
      </c>
      <c r="D17" s="263">
        <f t="shared" si="0"/>
        <v>3.2124981995471612E-2</v>
      </c>
      <c r="E17" s="264">
        <f t="shared" si="1"/>
        <v>5.988299611578498E-2</v>
      </c>
    </row>
    <row r="18" spans="1:10" x14ac:dyDescent="0.3">
      <c r="A18" s="261">
        <v>44136</v>
      </c>
      <c r="B18" s="262">
        <v>357.03066999999999</v>
      </c>
      <c r="C18" s="262">
        <v>34.987327999999998</v>
      </c>
      <c r="D18" s="263">
        <f t="shared" si="0"/>
        <v>0.10325744423215691</v>
      </c>
      <c r="E18" s="264">
        <f t="shared" si="1"/>
        <v>0.13587267593652469</v>
      </c>
    </row>
    <row r="19" spans="1:10" x14ac:dyDescent="0.3">
      <c r="A19" s="261">
        <v>44105</v>
      </c>
      <c r="B19" s="262">
        <v>322.00408900000002</v>
      </c>
      <c r="C19" s="262">
        <v>30.54232</v>
      </c>
      <c r="D19" s="263">
        <f t="shared" si="0"/>
        <v>-2.1254718157731108E-2</v>
      </c>
      <c r="E19" s="264">
        <f t="shared" si="1"/>
        <v>-0.1162699347534991</v>
      </c>
    </row>
    <row r="20" spans="1:10" x14ac:dyDescent="0.3">
      <c r="A20" s="261">
        <v>44075</v>
      </c>
      <c r="B20" s="262">
        <v>328.921448</v>
      </c>
      <c r="C20" s="262">
        <v>34.308159000000003</v>
      </c>
      <c r="D20" s="263">
        <f t="shared" si="0"/>
        <v>-4.2157463277830966E-2</v>
      </c>
      <c r="E20" s="264">
        <f t="shared" si="1"/>
        <v>2.4072234022365101E-2</v>
      </c>
      <c r="J20" s="80"/>
    </row>
    <row r="21" spans="1:10" x14ac:dyDescent="0.3">
      <c r="A21" s="261">
        <v>44044</v>
      </c>
      <c r="B21" s="262">
        <v>343.08438100000001</v>
      </c>
      <c r="C21" s="262">
        <v>33.492145999999998</v>
      </c>
      <c r="D21" s="263">
        <f t="shared" si="0"/>
        <v>6.7468566542943434E-2</v>
      </c>
      <c r="E21" s="264">
        <f t="shared" si="1"/>
        <v>9.9358987115559155E-2</v>
      </c>
    </row>
    <row r="22" spans="1:10" x14ac:dyDescent="0.3">
      <c r="A22" s="261">
        <v>44013</v>
      </c>
      <c r="B22" s="262">
        <v>320.70056199999999</v>
      </c>
      <c r="C22" s="262">
        <v>30.324379</v>
      </c>
      <c r="D22" s="263">
        <f t="shared" si="0"/>
        <v>6.1614059563625312E-2</v>
      </c>
      <c r="E22" s="264">
        <f t="shared" si="1"/>
        <v>8.5265484016274123E-2</v>
      </c>
    </row>
    <row r="23" spans="1:10" x14ac:dyDescent="0.3">
      <c r="A23" s="261">
        <v>43983</v>
      </c>
      <c r="B23" s="262">
        <v>301.53732300000001</v>
      </c>
      <c r="C23" s="262">
        <v>27.845921000000001</v>
      </c>
      <c r="D23" s="263">
        <f t="shared" si="0"/>
        <v>1.3188084279165064E-2</v>
      </c>
      <c r="E23" s="264">
        <f t="shared" si="1"/>
        <v>0.10144477295424784</v>
      </c>
    </row>
    <row r="24" spans="1:10" x14ac:dyDescent="0.3">
      <c r="A24" s="261">
        <v>43952</v>
      </c>
      <c r="B24" s="262">
        <v>297.58673099999999</v>
      </c>
      <c r="C24" s="262">
        <v>25.159655000000001</v>
      </c>
      <c r="D24" s="263">
        <f t="shared" si="0"/>
        <v>4.654516700218353E-2</v>
      </c>
      <c r="E24" s="264">
        <f t="shared" si="1"/>
        <v>0.15083228558915343</v>
      </c>
    </row>
    <row r="25" spans="1:10" x14ac:dyDescent="0.3">
      <c r="A25" s="261">
        <v>43922</v>
      </c>
      <c r="B25" s="262">
        <v>284.05291699999998</v>
      </c>
      <c r="C25" s="262">
        <v>21.6371</v>
      </c>
      <c r="D25" s="263">
        <f t="shared" si="0"/>
        <v>0.12540770288054209</v>
      </c>
      <c r="E25" s="264">
        <f t="shared" si="1"/>
        <v>7.639895742955706E-2</v>
      </c>
    </row>
    <row r="26" spans="1:10" x14ac:dyDescent="0.3">
      <c r="A26" s="261">
        <v>43891</v>
      </c>
      <c r="B26" s="262">
        <v>250.57363900000001</v>
      </c>
      <c r="C26" s="262">
        <v>20.045615999999999</v>
      </c>
      <c r="D26" s="263">
        <f t="shared" si="0"/>
        <v>-0.13924737006895196</v>
      </c>
      <c r="E26" s="264">
        <f t="shared" si="1"/>
        <v>-2.2748110079884608E-2</v>
      </c>
    </row>
    <row r="27" spans="1:10" x14ac:dyDescent="0.3">
      <c r="A27" s="261">
        <v>43862</v>
      </c>
      <c r="B27" s="262">
        <v>288.01144399999998</v>
      </c>
      <c r="C27" s="262">
        <v>20.506841999999999</v>
      </c>
      <c r="D27" s="263">
        <f t="shared" si="0"/>
        <v>-8.2475163966408707E-2</v>
      </c>
      <c r="E27" s="264">
        <f t="shared" si="1"/>
        <v>-0.18680153656253043</v>
      </c>
    </row>
    <row r="28" spans="1:10" x14ac:dyDescent="0.3">
      <c r="A28" s="261">
        <v>43831</v>
      </c>
      <c r="B28" s="262">
        <v>312.77227800000003</v>
      </c>
      <c r="C28" s="262">
        <v>24.718702</v>
      </c>
      <c r="D28" s="263">
        <f t="shared" si="0"/>
        <v>4.5004394268857882E-3</v>
      </c>
      <c r="E28" s="264">
        <f t="shared" si="1"/>
        <v>-5.232823171514752E-2</v>
      </c>
    </row>
    <row r="29" spans="1:10" x14ac:dyDescent="0.3">
      <c r="A29" s="261">
        <v>43800</v>
      </c>
      <c r="B29" s="262">
        <v>311.36782799999997</v>
      </c>
      <c r="C29" s="262">
        <v>26.046628999999999</v>
      </c>
      <c r="D29" s="263">
        <f t="shared" si="0"/>
        <v>2.3736750876572118E-2</v>
      </c>
      <c r="E29" s="264">
        <f t="shared" si="1"/>
        <v>5.808593458211235E-2</v>
      </c>
    </row>
    <row r="30" spans="1:10" x14ac:dyDescent="0.3">
      <c r="A30" s="261">
        <v>43770</v>
      </c>
      <c r="B30" s="262">
        <v>304.06399499999998</v>
      </c>
      <c r="C30" s="262">
        <v>24.576788000000001</v>
      </c>
      <c r="D30" s="263">
        <f t="shared" si="0"/>
        <v>3.5558855714728319E-2</v>
      </c>
      <c r="E30" s="264">
        <f t="shared" si="1"/>
        <v>-8.6856598381563691E-2</v>
      </c>
    </row>
    <row r="31" spans="1:10" x14ac:dyDescent="0.3">
      <c r="A31" s="261">
        <v>43739</v>
      </c>
      <c r="B31" s="262">
        <v>293.44180299999999</v>
      </c>
      <c r="C31" s="262">
        <v>26.806892000000001</v>
      </c>
      <c r="D31" s="263">
        <f t="shared" si="0"/>
        <v>2.6470937767130227E-2</v>
      </c>
      <c r="E31" s="264">
        <f t="shared" si="1"/>
        <v>1.9666481280223719E-2</v>
      </c>
    </row>
    <row r="32" spans="1:10" x14ac:dyDescent="0.3">
      <c r="A32" s="261">
        <v>43709</v>
      </c>
      <c r="B32" s="262">
        <v>285.77603099999999</v>
      </c>
      <c r="C32" s="262">
        <v>26.284845000000001</v>
      </c>
      <c r="D32" s="263">
        <f t="shared" si="0"/>
        <v>1.4663638753947094E-2</v>
      </c>
      <c r="E32" s="264">
        <f t="shared" si="1"/>
        <v>6.3836568192142075E-3</v>
      </c>
    </row>
    <row r="33" spans="1:5" x14ac:dyDescent="0.3">
      <c r="A33" s="261">
        <v>43678</v>
      </c>
      <c r="B33" s="262">
        <v>281.61608899999999</v>
      </c>
      <c r="C33" s="262">
        <v>26.117585999999999</v>
      </c>
      <c r="D33" s="263">
        <f t="shared" si="0"/>
        <v>-1.6885148751518121E-2</v>
      </c>
      <c r="E33" s="264">
        <f t="shared" si="1"/>
        <v>-0.11378608167445965</v>
      </c>
    </row>
    <row r="34" spans="1:5" x14ac:dyDescent="0.3">
      <c r="A34" s="261">
        <v>43647</v>
      </c>
      <c r="B34" s="262">
        <v>286.41159099999999</v>
      </c>
      <c r="C34" s="262">
        <v>29.265079</v>
      </c>
      <c r="D34" s="263">
        <f t="shared" si="0"/>
        <v>1.9858247402045798E-2</v>
      </c>
      <c r="E34" s="264">
        <f t="shared" si="1"/>
        <v>0.12805381519743614</v>
      </c>
    </row>
    <row r="35" spans="1:5" x14ac:dyDescent="0.3">
      <c r="A35" s="261">
        <v>43617</v>
      </c>
      <c r="B35" s="262">
        <v>280.78005999999999</v>
      </c>
      <c r="C35" s="262">
        <v>25.747592999999998</v>
      </c>
      <c r="D35" s="263">
        <f t="shared" si="0"/>
        <v>6.2420259533143334E-2</v>
      </c>
      <c r="E35" s="264">
        <f t="shared" si="1"/>
        <v>-0.15891991333527083</v>
      </c>
    </row>
    <row r="36" spans="1:5" x14ac:dyDescent="0.3">
      <c r="A36" s="261">
        <v>43586</v>
      </c>
      <c r="B36" s="262">
        <v>263.78949</v>
      </c>
      <c r="C36" s="262">
        <v>30.182462999999998</v>
      </c>
      <c r="D36" s="263">
        <f t="shared" si="0"/>
        <v>-6.5895291577430445E-2</v>
      </c>
      <c r="E36" s="264">
        <f t="shared" si="1"/>
        <v>-0.12397710802304968</v>
      </c>
    </row>
    <row r="37" spans="1:5" x14ac:dyDescent="0.3">
      <c r="A37" s="261">
        <v>43556</v>
      </c>
      <c r="B37" s="262">
        <v>281.75747699999999</v>
      </c>
      <c r="C37" s="262">
        <v>34.166245000000004</v>
      </c>
      <c r="D37" s="263">
        <f t="shared" ref="D37:D64" si="2">LN(B37/B38)</f>
        <v>4.4434931667641772E-2</v>
      </c>
      <c r="E37" s="264">
        <f t="shared" ref="E37:E64" si="3">LN(C37/C38)</f>
        <v>0.1385240682051343</v>
      </c>
    </row>
    <row r="38" spans="1:5" x14ac:dyDescent="0.3">
      <c r="A38" s="261">
        <v>43525</v>
      </c>
      <c r="B38" s="262">
        <v>269.51168799999999</v>
      </c>
      <c r="C38" s="262">
        <v>29.746578</v>
      </c>
      <c r="D38" s="263">
        <f t="shared" si="2"/>
        <v>1.3543477510167505E-2</v>
      </c>
      <c r="E38" s="264">
        <f t="shared" si="3"/>
        <v>5.0137106389243402E-2</v>
      </c>
    </row>
    <row r="39" spans="1:5" x14ac:dyDescent="0.3">
      <c r="A39" s="261">
        <v>43497</v>
      </c>
      <c r="B39" s="262">
        <v>265.886169</v>
      </c>
      <c r="C39" s="262">
        <v>28.291941000000001</v>
      </c>
      <c r="D39" s="263">
        <f t="shared" si="2"/>
        <v>3.1901732941718254E-2</v>
      </c>
      <c r="E39" s="264">
        <f t="shared" si="3"/>
        <v>0.13871442596976566</v>
      </c>
    </row>
    <row r="40" spans="1:5" x14ac:dyDescent="0.3">
      <c r="A40" s="261">
        <v>43466</v>
      </c>
      <c r="B40" s="262">
        <v>257.53781099999998</v>
      </c>
      <c r="C40" s="262">
        <v>24.627472000000001</v>
      </c>
      <c r="D40" s="263">
        <f t="shared" si="2"/>
        <v>8.2844403375114811E-2</v>
      </c>
      <c r="E40" s="264">
        <f t="shared" si="3"/>
        <v>-5.7458873373401817E-3</v>
      </c>
    </row>
    <row r="41" spans="1:5" x14ac:dyDescent="0.3">
      <c r="A41" s="261">
        <v>43435</v>
      </c>
      <c r="B41" s="262">
        <v>237.06210300000001</v>
      </c>
      <c r="C41" s="262">
        <v>24.769386000000001</v>
      </c>
      <c r="D41" s="263">
        <f t="shared" si="2"/>
        <v>-9.7991110364975681E-2</v>
      </c>
      <c r="E41" s="264">
        <f t="shared" si="3"/>
        <v>-0.17824323427722299</v>
      </c>
    </row>
    <row r="42" spans="1:5" x14ac:dyDescent="0.3">
      <c r="A42" s="261">
        <v>43405</v>
      </c>
      <c r="B42" s="262">
        <v>261.46835299999998</v>
      </c>
      <c r="C42" s="262">
        <v>29.602288999999999</v>
      </c>
      <c r="D42" s="263">
        <f t="shared" si="2"/>
        <v>1.8379441073641093E-2</v>
      </c>
      <c r="E42" s="264">
        <f t="shared" si="3"/>
        <v>0.15438775040632696</v>
      </c>
    </row>
    <row r="43" spans="1:5" x14ac:dyDescent="0.3">
      <c r="A43" s="261">
        <v>43374</v>
      </c>
      <c r="B43" s="262">
        <v>256.70660400000003</v>
      </c>
      <c r="C43" s="262">
        <v>25.367376</v>
      </c>
      <c r="D43" s="263">
        <f t="shared" si="2"/>
        <v>-6.7091374924886329E-2</v>
      </c>
      <c r="E43" s="264">
        <f t="shared" si="3"/>
        <v>-7.1813667077206197E-2</v>
      </c>
    </row>
    <row r="44" spans="1:5" x14ac:dyDescent="0.3">
      <c r="A44" s="261">
        <v>43344</v>
      </c>
      <c r="B44" s="262">
        <v>274.52029399999998</v>
      </c>
      <c r="C44" s="262">
        <v>27.256107</v>
      </c>
      <c r="D44" s="263">
        <f t="shared" si="2"/>
        <v>1.4112590375583056E-3</v>
      </c>
      <c r="E44" s="264">
        <f t="shared" si="3"/>
        <v>9.8298528193297412E-3</v>
      </c>
    </row>
    <row r="45" spans="1:5" x14ac:dyDescent="0.3">
      <c r="A45" s="261">
        <v>43313</v>
      </c>
      <c r="B45" s="262">
        <v>274.13314800000001</v>
      </c>
      <c r="C45" s="262">
        <v>26.989495999999999</v>
      </c>
      <c r="D45" s="263">
        <f t="shared" si="2"/>
        <v>3.142086100649872E-2</v>
      </c>
      <c r="E45" s="264">
        <f t="shared" si="3"/>
        <v>3.8692614525135019E-2</v>
      </c>
    </row>
    <row r="46" spans="1:5" x14ac:dyDescent="0.3">
      <c r="A46" s="261">
        <v>43282</v>
      </c>
      <c r="B46" s="262">
        <v>265.65356400000002</v>
      </c>
      <c r="C46" s="262">
        <v>25.965147000000002</v>
      </c>
      <c r="D46" s="263">
        <f t="shared" si="2"/>
        <v>4.0857240135615744E-2</v>
      </c>
      <c r="E46" s="264">
        <f t="shared" si="3"/>
        <v>8.9726993489006743E-2</v>
      </c>
    </row>
    <row r="47" spans="1:5" x14ac:dyDescent="0.3">
      <c r="A47" s="261">
        <v>43252</v>
      </c>
      <c r="B47" s="262">
        <v>255.01843299999999</v>
      </c>
      <c r="C47" s="262">
        <v>23.736837000000001</v>
      </c>
      <c r="D47" s="263">
        <f t="shared" si="2"/>
        <v>1.253891289318799E-3</v>
      </c>
      <c r="E47" s="264">
        <f t="shared" si="3"/>
        <v>4.7454999624385534E-2</v>
      </c>
    </row>
    <row r="48" spans="1:5" x14ac:dyDescent="0.3">
      <c r="A48" s="261">
        <v>43221</v>
      </c>
      <c r="B48" s="262">
        <v>254.698868</v>
      </c>
      <c r="C48" s="262">
        <v>22.636714999999999</v>
      </c>
      <c r="D48" s="263">
        <f t="shared" si="2"/>
        <v>2.4018310875824896E-2</v>
      </c>
      <c r="E48" s="264">
        <f t="shared" si="3"/>
        <v>0.11677628514215983</v>
      </c>
    </row>
    <row r="49" spans="1:5" x14ac:dyDescent="0.3">
      <c r="A49" s="261">
        <v>43191</v>
      </c>
      <c r="B49" s="262">
        <v>248.654312</v>
      </c>
      <c r="C49" s="262">
        <v>20.141791999999999</v>
      </c>
      <c r="D49" s="263">
        <f t="shared" si="2"/>
        <v>9.1522539565941936E-3</v>
      </c>
      <c r="E49" s="264">
        <f t="shared" si="3"/>
        <v>-1.9865471921025238E-2</v>
      </c>
    </row>
    <row r="50" spans="1:5" x14ac:dyDescent="0.3">
      <c r="A50" s="261">
        <v>43160</v>
      </c>
      <c r="B50" s="262">
        <v>246.388947</v>
      </c>
      <c r="C50" s="262">
        <v>20.545919000000001</v>
      </c>
      <c r="D50" s="263">
        <f t="shared" si="2"/>
        <v>-3.1790443050660172E-2</v>
      </c>
      <c r="E50" s="264">
        <f t="shared" si="3"/>
        <v>-1.4644324545639971E-2</v>
      </c>
    </row>
    <row r="51" spans="1:5" x14ac:dyDescent="0.3">
      <c r="A51" s="261">
        <v>43132</v>
      </c>
      <c r="B51" s="262">
        <v>254.34759500000001</v>
      </c>
      <c r="C51" s="262">
        <v>20.849014</v>
      </c>
      <c r="D51" s="263">
        <f t="shared" si="2"/>
        <v>-3.7038151893316246E-2</v>
      </c>
      <c r="E51" s="264">
        <f t="shared" si="3"/>
        <v>3.548560767871993E-2</v>
      </c>
    </row>
    <row r="52" spans="1:5" x14ac:dyDescent="0.3">
      <c r="A52" s="261">
        <v>43101</v>
      </c>
      <c r="B52" s="262">
        <v>263.944794</v>
      </c>
      <c r="C52" s="262">
        <v>20.122146999999998</v>
      </c>
      <c r="D52" s="263">
        <f t="shared" si="2"/>
        <v>5.9926929066447185E-2</v>
      </c>
      <c r="E52" s="264">
        <f t="shared" si="3"/>
        <v>-0.12540924474783796</v>
      </c>
    </row>
    <row r="53" spans="1:5" x14ac:dyDescent="0.3">
      <c r="A53" s="261">
        <v>43070</v>
      </c>
      <c r="B53" s="262">
        <v>248.59200999999999</v>
      </c>
      <c r="C53" s="262">
        <v>22.810713</v>
      </c>
      <c r="D53" s="263">
        <f t="shared" si="2"/>
        <v>6.9564910962898741E-3</v>
      </c>
      <c r="E53" s="264">
        <f t="shared" si="3"/>
        <v>3.8118885755731566E-2</v>
      </c>
    </row>
    <row r="54" spans="1:5" x14ac:dyDescent="0.3">
      <c r="A54" s="261">
        <v>43040</v>
      </c>
      <c r="B54" s="262">
        <v>246.868683</v>
      </c>
      <c r="C54" s="262">
        <v>21.957557999999999</v>
      </c>
      <c r="D54" s="263">
        <f t="shared" si="2"/>
        <v>3.0108130853488523E-2</v>
      </c>
      <c r="E54" s="264">
        <f t="shared" si="3"/>
        <v>-5.6284579431960545E-2</v>
      </c>
    </row>
    <row r="55" spans="1:5" x14ac:dyDescent="0.3">
      <c r="A55" s="261">
        <v>43009</v>
      </c>
      <c r="B55" s="262">
        <v>239.546707</v>
      </c>
      <c r="C55" s="262">
        <v>23.228871999999999</v>
      </c>
      <c r="D55" s="263">
        <f t="shared" si="2"/>
        <v>2.8241215738422157E-2</v>
      </c>
      <c r="E55" s="264">
        <f t="shared" si="3"/>
        <v>6.9536717721253791E-2</v>
      </c>
    </row>
    <row r="56" spans="1:5" x14ac:dyDescent="0.3">
      <c r="A56" s="261">
        <v>42979</v>
      </c>
      <c r="B56" s="262">
        <v>232.876251</v>
      </c>
      <c r="C56" s="262">
        <v>21.668493000000002</v>
      </c>
      <c r="D56" s="263">
        <f t="shared" si="2"/>
        <v>1.499844954054641E-2</v>
      </c>
      <c r="E56" s="264">
        <f t="shared" si="3"/>
        <v>2.9974665192257492E-2</v>
      </c>
    </row>
    <row r="57" spans="1:5" x14ac:dyDescent="0.3">
      <c r="A57" s="261">
        <v>42948</v>
      </c>
      <c r="B57" s="262">
        <v>229.40953099999999</v>
      </c>
      <c r="C57" s="262">
        <v>21.028625000000002</v>
      </c>
      <c r="D57" s="263">
        <f t="shared" si="2"/>
        <v>2.9136007942559194E-3</v>
      </c>
      <c r="E57" s="264">
        <f t="shared" si="3"/>
        <v>0.15346139700181721</v>
      </c>
    </row>
    <row r="58" spans="1:5" x14ac:dyDescent="0.3">
      <c r="A58" s="261">
        <v>42917</v>
      </c>
      <c r="B58" s="262">
        <v>228.742096</v>
      </c>
      <c r="C58" s="262">
        <v>18.036964000000001</v>
      </c>
      <c r="D58" s="263">
        <f t="shared" si="2"/>
        <v>2.5210531791515872E-2</v>
      </c>
      <c r="E58" s="264">
        <f t="shared" si="3"/>
        <v>5.0417395722007499E-2</v>
      </c>
    </row>
    <row r="59" spans="1:5" x14ac:dyDescent="0.3">
      <c r="A59" s="261">
        <v>42887</v>
      </c>
      <c r="B59" s="262">
        <v>223.04747</v>
      </c>
      <c r="C59" s="262">
        <v>17.150130999999998</v>
      </c>
      <c r="D59" s="263">
        <f t="shared" si="2"/>
        <v>1.4899943453310905E-3</v>
      </c>
      <c r="E59" s="264">
        <f t="shared" si="3"/>
        <v>-0.12706734409314291</v>
      </c>
    </row>
    <row r="60" spans="1:5" x14ac:dyDescent="0.3">
      <c r="A60" s="261">
        <v>42856</v>
      </c>
      <c r="B60" s="262">
        <v>222.71537799999999</v>
      </c>
      <c r="C60" s="262">
        <v>19.473862</v>
      </c>
      <c r="D60" s="263">
        <f t="shared" si="2"/>
        <v>1.4014071350333357E-2</v>
      </c>
      <c r="E60" s="264">
        <f t="shared" si="3"/>
        <v>3.3409727644856738E-2</v>
      </c>
    </row>
    <row r="61" spans="1:5" x14ac:dyDescent="0.3">
      <c r="A61" s="261">
        <v>42826</v>
      </c>
      <c r="B61" s="262">
        <v>219.61599699999999</v>
      </c>
      <c r="C61" s="262">
        <v>18.833994000000001</v>
      </c>
      <c r="D61" s="263">
        <f t="shared" si="2"/>
        <v>1.4218262238661215E-2</v>
      </c>
      <c r="E61" s="264">
        <f t="shared" si="3"/>
        <v>4.6200805979427176E-2</v>
      </c>
    </row>
    <row r="62" spans="1:5" x14ac:dyDescent="0.3">
      <c r="A62" s="261">
        <v>42795</v>
      </c>
      <c r="B62" s="262">
        <v>216.515533</v>
      </c>
      <c r="C62" s="262">
        <v>17.983643000000001</v>
      </c>
      <c r="D62" s="263">
        <f t="shared" si="2"/>
        <v>-3.0917187200211896E-3</v>
      </c>
      <c r="E62" s="264">
        <f t="shared" si="3"/>
        <v>9.2498483702119876E-3</v>
      </c>
    </row>
    <row r="63" spans="1:5" x14ac:dyDescent="0.3">
      <c r="A63" s="261">
        <v>42767</v>
      </c>
      <c r="B63" s="262">
        <v>217.18597399999999</v>
      </c>
      <c r="C63" s="262">
        <v>17.818064</v>
      </c>
      <c r="D63" s="263">
        <f t="shared" si="2"/>
        <v>3.8539281471672938E-2</v>
      </c>
      <c r="E63" s="264">
        <f t="shared" si="3"/>
        <v>7.9065531808910055E-3</v>
      </c>
    </row>
    <row r="64" spans="1:5" x14ac:dyDescent="0.3">
      <c r="A64" s="261">
        <v>42736</v>
      </c>
      <c r="B64" s="262">
        <v>208.975021</v>
      </c>
      <c r="C64" s="262">
        <v>17.67774</v>
      </c>
      <c r="D64" s="263">
        <f t="shared" si="2"/>
        <v>2.3613374613423829E-2</v>
      </c>
      <c r="E64" s="264">
        <f t="shared" si="3"/>
        <v>0.13618829638387442</v>
      </c>
    </row>
    <row r="65" spans="1:5" x14ac:dyDescent="0.3">
      <c r="A65" s="268">
        <v>42705</v>
      </c>
      <c r="B65" s="269">
        <v>204.098221</v>
      </c>
      <c r="C65" s="269">
        <v>15.42698</v>
      </c>
      <c r="D65" s="52"/>
      <c r="E65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AAA1-5EF9-164E-A3E0-EB34784ECFD3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 Page</vt:lpstr>
      <vt:lpstr>Model</vt:lpstr>
      <vt:lpstr>Assumptions</vt:lpstr>
      <vt:lpstr>Revenue Model</vt:lpstr>
      <vt:lpstr>3 Statement Model </vt:lpstr>
      <vt:lpstr>Comparable Companies</vt:lpstr>
      <vt:lpstr>WACC Calculation</vt:lpstr>
      <vt:lpstr>Beta Calculation</vt:lpstr>
      <vt:lpstr>Historicals</vt:lpstr>
      <vt:lpstr>Income Statement</vt:lpstr>
      <vt:lpstr>Balance Sheet</vt:lpstr>
      <vt:lpstr>Cash Flow Statement </vt:lpstr>
      <vt:lpstr>tax_rate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Lim</dc:creator>
  <cp:keywords/>
  <dc:description/>
  <cp:lastModifiedBy>Carson Feng</cp:lastModifiedBy>
  <cp:revision/>
  <cp:lastPrinted>2021-11-26T23:14:20Z</cp:lastPrinted>
  <dcterms:created xsi:type="dcterms:W3CDTF">2021-11-21T19:41:13Z</dcterms:created>
  <dcterms:modified xsi:type="dcterms:W3CDTF">2022-02-12T09:30:41Z</dcterms:modified>
  <cp:category/>
  <cp:contentStatus/>
</cp:coreProperties>
</file>