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<sst xmlns="http://schemas.openxmlformats.org/spreadsheetml/2006/main" count="85">
  <si>
    <t>Dados a inserir:</t>
  </si>
  <si>
    <t>Indice Futuro</t>
  </si>
  <si>
    <t>Ultimos 21 Pregões</t>
  </si>
  <si>
    <t>Calcular</t>
  </si>
  <si>
    <t>Ativo:</t>
  </si>
  <si>
    <t>WIN</t>
  </si>
  <si>
    <t>Total das Despesas:</t>
  </si>
  <si>
    <t>Dia</t>
  </si>
  <si>
    <t>Contratos Negociados</t>
  </si>
  <si>
    <t>Lucro/Prejuízo</t>
  </si>
  <si>
    <t>Corretagem Nota</t>
  </si>
  <si>
    <t>Corretagem Unidade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</si>
  <si>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</si>
  <si>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</si>
  <si>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</si>
  <si>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</si>
  <si>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</si>
  <si>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</si>
  <si>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13/06/2018</t>
  </si>
  <si>
    <t>Tltal de Contratos:</t>
  </si>
  <si>
    <t>Lucro/Prejuizo Bruto:</t>
  </si>
  <si>
    <t>$</t>
  </si>
  <si>
    <t>14/06/2018</t>
  </si>
  <si>
    <t>Ajuste DayTrade</t>
  </si>
  <si>
    <t>Total das Taxas</t>
  </si>
  <si>
    <t>15/06/2018</t>
  </si>
  <si>
    <t>Configuração</t>
  </si>
  <si>
    <t>aproximadamente</t>
  </si>
  <si>
    <t>18/06/2018</t>
  </si>
  <si>
    <t>ISS/PIS/COFINS:</t>
  </si>
  <si>
    <t>Corretora:</t>
  </si>
  <si>
    <t>Registro BMF:</t>
  </si>
  <si>
    <t>20/06/2018</t>
  </si>
  <si>
    <t>Lucro/Prejuízo:</t>
  </si>
  <si>
    <t>Corretagem:</t>
  </si>
  <si>
    <t>Emolumentos:</t>
  </si>
  <si>
    <t>21/06/2018</t>
  </si>
  <si>
    <t>Taxa ISS:</t>
  </si>
  <si>
    <t>%</t>
  </si>
  <si>
    <t>ISS, PIS, COFINS:</t>
  </si>
  <si>
    <t>22/06/2018</t>
  </si>
  <si>
    <t>Tx. Intermediação:</t>
  </si>
  <si>
    <t>ISENTO</t>
  </si>
  <si>
    <t>26/06/2018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</si>
  <si>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</si>
  <si>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</si>
  <si>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</si>
  <si>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</si>
  <si>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</si>
  <si>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</si>
  <si>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</si>
  <si>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</si>
  <si>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</si>
  <si>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</si>
  <si>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</si>
  <si>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</si>
  <si>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</si>
  <si>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Prejuízo a Compensar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</si>
  <si>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</si>
  <si>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</si>
  <si>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</si>
  <si>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</si>
  <si>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</si>
  <si>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</si>
  <si>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</si>
  <si>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Lucro/Prezjuízo Bruto</t>
  </si>
  <si>
    <t>DARF</t>
  </si>
  <si>
    <t>Liquido</t>
  </si>
  <si>
    <t>Taxa de Intermediação:</t>
  </si>
  <si>
    <t>Total BM&amp;F:</t>
  </si>
  <si>
    <t>Média 21 Pregões</t>
  </si>
  <si>
    <t>Custos Totais com a Corretora:</t>
  </si>
  <si>
    <t>IRRF (1%)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</si>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</sst>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8" borderId="8" applyNumberFormat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7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26" fillId="42" borderId="12" applyNumberFormat="0" applyAlignment="0" applyProtection="0">
      <alignment vertical="center"/>
    </xf>
    <xf numFmtId="0" fontId="23" fillId="42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right"/>
    </xf>
    <xf numFmtId="0" fontId="0" fillId="3" borderId="1" xfId="0" applyFill="1" applyBorder="1"/>
    <xf numFmtId="0" fontId="0" fillId="14" borderId="1" xfId="0" applyFill="1" applyBorder="1" applyAlignment="1">
      <alignment horizontal="center"/>
    </xf>
    <xf numFmtId="0" fontId="0" fillId="0" borderId="0" xfId="0" applyAlignment="1"/>
    <xf numFmtId="0" fontId="0" fillId="15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workbookViewId="0">
      <selection activeCell="B3" sqref="B3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14.8571428571429" customWidth="1"/>
    <col min="15" max="15" width="17.5714285714286" customWidth="1"/>
    <col min="16" max="16" width="21.1428571428571" customWidth="1"/>
    <col min="17" max="17" width="14.5714285714286" customWidth="1"/>
  </cols>
  <sheetData>
    <row r="1" customHeight="1" spans="1:16">
      <c r="A1" t="s">
        <v>0</v>
      </c>
      <c r="B1" t="s">
        <v>1</v>
      </c>
      <c r="J1" t="s">
        <v>2</v>
      </c>
      <c r="O1" s="33" t="s">
        <v>3</v>
      </c>
      <c r="P1" s="33"/>
    </row>
    <row r="2" spans="1:16">
      <c r="A2" s="1" t="s">
        <v>4</v>
      </c>
      <c r="B2" s="2" t="s">
        <v>5</v>
      </c>
      <c r="D2" s="3" t="s">
        <v>6</v>
      </c>
      <c r="E2" s="4">
        <f>B27</f>
        <v>4.4</v>
      </c>
      <c r="I2">
        <v>1</v>
      </c>
      <c r="J2" s="14" t="s">
        <v>7</v>
      </c>
      <c r="K2" t="s">
        <v>8</v>
      </c>
      <c r="L2" t="s">
        <v>9</v>
      </c>
      <c r="O2" s="1" t="s">
        <v>10</v>
      </c>
      <c r="P2" s="1" t="s">
        <v>11</v>
      </c>
    </row>
    <row r="3" spans="1:16">
      <c r="A3" s="1" t="s">
        <v>12</v>
      </c>
      <c r="B3" s="2">
        <v>22</v>
      </c>
      <c r="C3" t="s">
        <v>13</v>
      </c>
      <c r="D3" s="3" t="s">
        <v>14</v>
      </c>
      <c r="E3" s="4">
        <f>B28</f>
        <v>-64.4</v>
      </c>
      <c r="I3">
        <v>2</v>
      </c>
      <c r="J3" s="34">
        <v>43440</v>
      </c>
      <c r="K3">
        <v>2</v>
      </c>
      <c r="L3">
        <v>-1.11</v>
      </c>
      <c r="O3" s="35">
        <v>0.9</v>
      </c>
      <c r="P3" s="1">
        <f>B9</f>
        <v>0.09</v>
      </c>
    </row>
    <row r="4" spans="1:16">
      <c r="A4" s="5" t="s">
        <v>15</v>
      </c>
      <c r="B4" s="6">
        <v>1</v>
      </c>
      <c r="C4" t="s">
        <v>16</v>
      </c>
      <c r="D4" s="3" t="s">
        <v>17</v>
      </c>
      <c r="E4" s="4">
        <f>D27-D28</f>
        <v>-64.59</v>
      </c>
      <c r="I4">
        <v>3</v>
      </c>
      <c r="J4" s="34" t="s">
        <v>18</v>
      </c>
      <c r="K4">
        <v>14</v>
      </c>
      <c r="L4">
        <v>10.7</v>
      </c>
      <c r="O4" s="1" t="s">
        <v>19</v>
      </c>
      <c r="P4" s="33">
        <f>O3/P3</f>
        <v>10</v>
      </c>
    </row>
    <row r="5" spans="1:16">
      <c r="A5" s="7" t="s">
        <v>20</v>
      </c>
      <c r="B5" s="8">
        <v>-60</v>
      </c>
      <c r="C5" t="s">
        <v>21</v>
      </c>
      <c r="I5">
        <v>4</v>
      </c>
      <c r="J5" s="34" t="s">
        <v>22</v>
      </c>
      <c r="K5">
        <v>2</v>
      </c>
      <c r="L5">
        <v>9.46</v>
      </c>
      <c r="O5" s="1" t="s">
        <v>23</v>
      </c>
      <c r="P5" s="1" t="s">
        <v>24</v>
      </c>
    </row>
    <row r="6" customHeight="1" spans="9:16">
      <c r="I6">
        <v>5</v>
      </c>
      <c r="J6" s="34" t="s">
        <v>25</v>
      </c>
      <c r="K6">
        <v>32</v>
      </c>
      <c r="L6">
        <v>-1.31</v>
      </c>
      <c r="O6" s="35"/>
      <c r="P6" s="35"/>
    </row>
    <row r="7" spans="1:16">
      <c r="A7" t="s">
        <v>26</v>
      </c>
      <c r="D7" s="9" t="s">
        <v>27</v>
      </c>
      <c r="E7" s="9"/>
      <c r="I7">
        <v>6</v>
      </c>
      <c r="J7" s="28" t="s">
        <v>28</v>
      </c>
      <c r="K7">
        <v>14</v>
      </c>
      <c r="L7">
        <v>22.58</v>
      </c>
      <c r="O7" s="1" t="s">
        <v>29</v>
      </c>
      <c r="P7" s="35"/>
    </row>
    <row r="8" customHeight="1" spans="1:16">
      <c r="A8" t="s">
        <v>30</v>
      </c>
      <c r="D8" t="s">
        <v>31</v>
      </c>
      <c r="E8">
        <v>0.08</v>
      </c>
      <c r="I8">
        <v>7</v>
      </c>
      <c r="J8" s="28" t="s">
        <v>32</v>
      </c>
      <c r="K8">
        <v>46</v>
      </c>
      <c r="L8">
        <v>1.92</v>
      </c>
      <c r="O8" s="1" t="s">
        <v>33</v>
      </c>
      <c r="P8" s="33">
        <f>O6-P6-P7</f>
        <v>0</v>
      </c>
    </row>
    <row r="9" spans="1:12">
      <c r="A9" s="10" t="s">
        <v>34</v>
      </c>
      <c r="B9" s="11">
        <v>0.09</v>
      </c>
      <c r="C9" t="s">
        <v>21</v>
      </c>
      <c r="D9" t="s">
        <v>35</v>
      </c>
      <c r="E9">
        <v>0.05</v>
      </c>
      <c r="I9">
        <v>8</v>
      </c>
      <c r="J9" s="28" t="s">
        <v>36</v>
      </c>
      <c r="K9">
        <v>4</v>
      </c>
      <c r="L9">
        <v>8.01</v>
      </c>
    </row>
    <row r="10" spans="1:12">
      <c r="A10" s="10" t="s">
        <v>37</v>
      </c>
      <c r="B10" s="11">
        <v>9.65</v>
      </c>
      <c r="C10" t="s">
        <v>38</v>
      </c>
      <c r="D10" t="s">
        <v>39</v>
      </c>
      <c r="E10">
        <v>9.65</v>
      </c>
      <c r="I10">
        <v>9</v>
      </c>
      <c r="J10" s="34" t="s">
        <v>40</v>
      </c>
      <c r="K10">
        <v>16</v>
      </c>
      <c r="L10">
        <v>6.29</v>
      </c>
    </row>
    <row r="11" spans="1:12">
      <c r="A11" s="12" t="s">
        <v>41</v>
      </c>
      <c r="B11" s="13" t="s">
        <v>42</v>
      </c>
      <c r="I11">
        <v>10</v>
      </c>
      <c r="J11" s="34" t="s">
        <v>43</v>
      </c>
      <c r="K11">
        <v>10</v>
      </c>
      <c r="L11">
        <v>15.57</v>
      </c>
    </row>
    <row r="12" spans="9:10">
      <c r="I12">
        <v>11</v>
      </c>
      <c r="J12" s="34"/>
    </row>
    <row r="13" spans="1:10">
      <c r="A13" s="14" t="s">
        <v>44</v>
      </c>
      <c r="B13" s="14"/>
      <c r="C13" s="14" t="s">
        <v>21</v>
      </c>
      <c r="E13" s="9" t="s">
        <v>45</v>
      </c>
      <c r="F13" s="9"/>
      <c r="G13" s="9" t="s">
        <v>46</v>
      </c>
      <c r="H13" s="9"/>
      <c r="I13">
        <v>12</v>
      </c>
      <c r="J13" s="34"/>
    </row>
    <row r="14" spans="1:10">
      <c r="A14" s="15" t="s">
        <v>35</v>
      </c>
      <c r="B14" s="15"/>
      <c r="C14" s="11">
        <f>IF(F15=0,ROUND(((G40*B4)/F33),2),ROUND(((G40*B4)/F33)*F15,2))</f>
        <v>0.26</v>
      </c>
      <c r="D14" s="16">
        <f>C14*F14</f>
        <v>0.0546</v>
      </c>
      <c r="E14" s="17" t="s">
        <v>47</v>
      </c>
      <c r="F14" s="11">
        <v>0.21</v>
      </c>
      <c r="G14" s="17" t="s">
        <v>47</v>
      </c>
      <c r="H14" s="11">
        <v>0.21</v>
      </c>
      <c r="I14">
        <v>13</v>
      </c>
      <c r="J14" s="34"/>
    </row>
    <row r="15" spans="1:10">
      <c r="A15" s="18" t="s">
        <v>48</v>
      </c>
      <c r="B15" s="18"/>
      <c r="C15" s="19">
        <f>IF(F15=0,ROUND((((G52)/H45)),2),ROUND((((G52)/F45))*H15,2))</f>
        <v>0.29</v>
      </c>
      <c r="D15" s="16">
        <f>C15*H14</f>
        <v>0.0609</v>
      </c>
      <c r="E15" s="17" t="s">
        <v>49</v>
      </c>
      <c r="F15" s="11">
        <v>0.34</v>
      </c>
      <c r="G15" s="17" t="s">
        <v>49</v>
      </c>
      <c r="H15" s="11">
        <v>0.34</v>
      </c>
      <c r="I15">
        <v>14</v>
      </c>
      <c r="J15" s="34"/>
    </row>
    <row r="16" spans="1:10">
      <c r="A16" s="18" t="s">
        <v>50</v>
      </c>
      <c r="B16" s="18"/>
      <c r="C16" s="20" t="s">
        <v>42</v>
      </c>
      <c r="I16">
        <v>15</v>
      </c>
      <c r="J16" s="34"/>
    </row>
    <row r="17" spans="9:10">
      <c r="I17">
        <v>16</v>
      </c>
      <c r="J17" s="34"/>
    </row>
    <row r="18" spans="9:10">
      <c r="I18">
        <v>17</v>
      </c>
      <c r="J18" s="34"/>
    </row>
    <row r="19" spans="1:10">
      <c r="A19" t="s">
        <v>51</v>
      </c>
      <c r="I19">
        <v>18</v>
      </c>
      <c r="J19" s="34"/>
    </row>
    <row r="20" spans="6:10">
      <c r="F20" t="s">
        <v>52</v>
      </c>
      <c r="G20" s="21"/>
      <c r="H20" s="21"/>
      <c r="I20">
        <v>19</v>
      </c>
      <c r="J20" s="34"/>
    </row>
    <row r="21" spans="1:15">
      <c r="A21" t="s">
        <v>53</v>
      </c>
      <c r="D21" t="s">
        <v>54</v>
      </c>
      <c r="G21" t="s">
        <v>55</v>
      </c>
      <c r="H21" t="s">
        <v>56</v>
      </c>
      <c r="I21">
        <v>20</v>
      </c>
      <c r="J21" s="34"/>
      <c r="N21" s="33" t="s">
        <v>57</v>
      </c>
      <c r="O21" s="33"/>
    </row>
    <row r="22" spans="1:15">
      <c r="A22" s="22" t="s">
        <v>58</v>
      </c>
      <c r="B22" s="22"/>
      <c r="C22" s="23">
        <f>B9*B3</f>
        <v>1.98</v>
      </c>
      <c r="D22" s="24" t="s">
        <v>59</v>
      </c>
      <c r="E22" s="24"/>
      <c r="F22" s="24"/>
      <c r="G22" s="25">
        <f>ROUND(D14,2)</f>
        <v>0.05</v>
      </c>
      <c r="H22" s="25">
        <f>G22*B3</f>
        <v>1.1</v>
      </c>
      <c r="I22">
        <v>21</v>
      </c>
      <c r="J22" s="34" t="s">
        <v>60</v>
      </c>
      <c r="K22">
        <f>B3</f>
        <v>22</v>
      </c>
      <c r="L22">
        <f>E4</f>
        <v>-64.59</v>
      </c>
      <c r="N22" s="36">
        <v>49.16</v>
      </c>
      <c r="O22" s="36"/>
    </row>
    <row r="23" spans="1:17">
      <c r="A23" s="22" t="s">
        <v>61</v>
      </c>
      <c r="B23" s="22"/>
      <c r="C23" s="23">
        <f>C22*(B10/100)</f>
        <v>0.19107</v>
      </c>
      <c r="D23" s="24" t="s">
        <v>62</v>
      </c>
      <c r="E23" s="24"/>
      <c r="F23" s="24"/>
      <c r="G23" s="25">
        <f>ROUND(D15,2)</f>
        <v>0.06</v>
      </c>
      <c r="H23" s="25">
        <f>G23*B3</f>
        <v>1.32</v>
      </c>
      <c r="I23" s="37"/>
      <c r="J23" s="28" t="s">
        <v>63</v>
      </c>
      <c r="K23">
        <f>SUM(K3:K22)</f>
        <v>162</v>
      </c>
      <c r="L23" s="38" t="s">
        <v>64</v>
      </c>
      <c r="M23" s="38"/>
      <c r="N23" s="39" t="s">
        <v>65</v>
      </c>
      <c r="O23" s="40"/>
      <c r="P23" s="41" t="s">
        <v>66</v>
      </c>
      <c r="Q23" s="41" t="s">
        <v>67</v>
      </c>
    </row>
    <row r="24" spans="1:17">
      <c r="A24" s="22" t="s">
        <v>68</v>
      </c>
      <c r="B24" s="22"/>
      <c r="C24" s="23" t="str">
        <f>B11</f>
        <v>ISENTO</v>
      </c>
      <c r="D24" s="24" t="s">
        <v>69</v>
      </c>
      <c r="E24" s="24"/>
      <c r="F24" s="24"/>
      <c r="G24" s="25">
        <f>H22+H23</f>
        <v>2.42</v>
      </c>
      <c r="J24" t="s">
        <v>70</v>
      </c>
      <c r="K24">
        <f>K23/21</f>
        <v>7.71428571428571</v>
      </c>
      <c r="L24" s="38">
        <f>K23</f>
        <v>162</v>
      </c>
      <c r="M24" s="38"/>
      <c r="N24" s="39">
        <f>SUM(L3:L22)</f>
        <v>7.52</v>
      </c>
      <c r="O24" s="40"/>
      <c r="P24" s="41">
        <f>(N24-N22)*0.2</f>
        <v>-8.328</v>
      </c>
      <c r="Q24" s="41">
        <f>N24-P24-N22</f>
        <v>-33.312</v>
      </c>
    </row>
    <row r="25" spans="1:4">
      <c r="A25" s="22" t="s">
        <v>71</v>
      </c>
      <c r="B25" s="22"/>
      <c r="C25" s="23">
        <f>ROUND(C22+C23,2)</f>
        <v>2.17</v>
      </c>
      <c r="D25" s="26">
        <f>C25+G24</f>
        <v>4.59</v>
      </c>
    </row>
    <row r="27" spans="1:4">
      <c r="A27" s="3" t="s">
        <v>6</v>
      </c>
      <c r="B27" s="27">
        <f>C22+G24</f>
        <v>4.4</v>
      </c>
      <c r="C27" s="3" t="s">
        <v>17</v>
      </c>
      <c r="D27" s="27">
        <f>B5-C25-G24</f>
        <v>-64.59</v>
      </c>
    </row>
    <row r="28" spans="1:4">
      <c r="A28" s="3" t="s">
        <v>14</v>
      </c>
      <c r="B28" s="27">
        <f>B5-B27</f>
        <v>-64.4</v>
      </c>
      <c r="C28" s="28" t="s">
        <v>72</v>
      </c>
      <c r="D28" s="14">
        <f>ROUND(IF(D27&gt;0,D27*0.01,0),2)</f>
        <v>0</v>
      </c>
    </row>
    <row r="30" spans="1:2">
      <c r="A30" s="28" t="s">
        <v>26</v>
      </c>
      <c r="B30" s="14" t="s">
        <v>1</v>
      </c>
    </row>
    <row r="31" ht="15.75" spans="1:4">
      <c r="A31" t="s">
        <v>73</v>
      </c>
      <c r="D31" t="s">
        <v>74</v>
      </c>
    </row>
    <row r="32" ht="15.75" spans="1:7">
      <c r="A32" s="29" t="s">
        <v>75</v>
      </c>
      <c r="B32" s="29"/>
      <c r="C32" s="29" t="s">
        <v>76</v>
      </c>
      <c r="D32" t="s">
        <v>77</v>
      </c>
      <c r="F32" t="s">
        <v>78</v>
      </c>
      <c r="G32" t="s">
        <v>79</v>
      </c>
    </row>
    <row r="33" ht="15.75" spans="1:7">
      <c r="A33" s="30" t="s">
        <v>80</v>
      </c>
      <c r="B33" s="30" t="s">
        <v>81</v>
      </c>
      <c r="C33" s="30" t="s">
        <v>82</v>
      </c>
      <c r="D33" t="s">
        <v>82</v>
      </c>
      <c r="E33" t="s">
        <v>55</v>
      </c>
      <c r="F33">
        <f>L24</f>
        <v>162</v>
      </c>
      <c r="G33" t="s">
        <v>82</v>
      </c>
    </row>
    <row r="34" ht="15.75" spans="1:7">
      <c r="A34" s="31">
        <v>1</v>
      </c>
      <c r="B34" s="31">
        <v>10</v>
      </c>
      <c r="C34" s="31">
        <v>0.91</v>
      </c>
      <c r="D34">
        <f>IF(F33&gt;B34,B34,F33)</f>
        <v>10</v>
      </c>
      <c r="E34">
        <f>F33-D34</f>
        <v>152</v>
      </c>
      <c r="G34">
        <f t="shared" ref="G34:G39" si="0">D34*C34</f>
        <v>9.1</v>
      </c>
    </row>
    <row r="35" ht="15.75" spans="1:7">
      <c r="A35" s="31">
        <v>11</v>
      </c>
      <c r="B35" s="31">
        <v>50</v>
      </c>
      <c r="C35" s="31">
        <v>0.81</v>
      </c>
      <c r="D35">
        <f>IF(E34&gt;B35,B35-SUM($D$34:D34),E34)</f>
        <v>40</v>
      </c>
      <c r="E35">
        <f>E34-D35</f>
        <v>112</v>
      </c>
      <c r="G35">
        <f t="shared" si="0"/>
        <v>32.4</v>
      </c>
    </row>
    <row r="36" ht="15.75" spans="1:7">
      <c r="A36" s="31">
        <v>51</v>
      </c>
      <c r="B36" s="31">
        <v>100</v>
      </c>
      <c r="C36" s="31">
        <v>0.78</v>
      </c>
      <c r="D36">
        <f>IF(E35&gt;B36,B36-SUM($D$34:D35),E35)</f>
        <v>50</v>
      </c>
      <c r="E36">
        <f>E35-D36</f>
        <v>62</v>
      </c>
      <c r="G36">
        <f t="shared" si="0"/>
        <v>39</v>
      </c>
    </row>
    <row r="37" ht="15.75" spans="1:7">
      <c r="A37" s="31">
        <v>101</v>
      </c>
      <c r="B37" s="31">
        <v>190</v>
      </c>
      <c r="C37" s="31">
        <v>0.73</v>
      </c>
      <c r="D37">
        <f>IF(E36&gt;B37,B37-SUM($D$34:D36),E36)</f>
        <v>62</v>
      </c>
      <c r="E37">
        <f>E36-D37</f>
        <v>0</v>
      </c>
      <c r="G37">
        <f t="shared" si="0"/>
        <v>45.26</v>
      </c>
    </row>
    <row r="38" ht="15.75" spans="1:7">
      <c r="A38" s="31">
        <v>191</v>
      </c>
      <c r="B38" s="31">
        <v>2000</v>
      </c>
      <c r="C38" s="31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1" t="s">
        <v>83</v>
      </c>
      <c r="B39" s="31"/>
      <c r="C39" s="31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8" t="s">
        <v>63</v>
      </c>
      <c r="G40">
        <f>SUM(G34:G39)</f>
        <v>125.76</v>
      </c>
    </row>
    <row r="41" spans="1:1">
      <c r="A41" s="32"/>
    </row>
    <row r="43" ht="15.75" spans="1:4">
      <c r="A43" t="s">
        <v>84</v>
      </c>
      <c r="D43" t="s">
        <v>74</v>
      </c>
    </row>
    <row r="44" ht="15.75" spans="1:7">
      <c r="A44" s="29" t="s">
        <v>75</v>
      </c>
      <c r="B44" s="29"/>
      <c r="C44" s="29" t="s">
        <v>76</v>
      </c>
      <c r="D44" t="s">
        <v>77</v>
      </c>
      <c r="F44" t="s">
        <v>78</v>
      </c>
      <c r="G44" t="s">
        <v>79</v>
      </c>
    </row>
    <row r="45" ht="15.75" spans="1:7">
      <c r="A45" s="30" t="s">
        <v>80</v>
      </c>
      <c r="B45" s="30" t="s">
        <v>81</v>
      </c>
      <c r="C45" s="30" t="s">
        <v>82</v>
      </c>
      <c r="D45" t="s">
        <v>82</v>
      </c>
      <c r="E45" t="s">
        <v>55</v>
      </c>
      <c r="F45">
        <f>L24</f>
        <v>162</v>
      </c>
      <c r="G45" t="s">
        <v>82</v>
      </c>
    </row>
    <row r="46" ht="15.75" spans="1:7">
      <c r="A46" s="31">
        <v>1</v>
      </c>
      <c r="B46" s="31">
        <v>10</v>
      </c>
      <c r="C46" s="31">
        <v>1</v>
      </c>
      <c r="D46">
        <f>IF(F45&gt;B46,B46,F45)</f>
        <v>10</v>
      </c>
      <c r="E46">
        <f>F45-D46</f>
        <v>152</v>
      </c>
      <c r="G46">
        <f t="shared" ref="G46:G51" si="1">D46*C46</f>
        <v>10</v>
      </c>
    </row>
    <row r="47" ht="15.75" spans="1:7">
      <c r="A47" s="31">
        <v>11</v>
      </c>
      <c r="B47" s="31">
        <v>50</v>
      </c>
      <c r="C47" s="31">
        <v>0.9</v>
      </c>
      <c r="D47">
        <f>IF(E46&gt;B47,B47-SUM($D$46:D46),E46)</f>
        <v>40</v>
      </c>
      <c r="E47">
        <f t="shared" ref="E47:E51" si="2">E46-D47</f>
        <v>112</v>
      </c>
      <c r="G47">
        <f t="shared" si="1"/>
        <v>36</v>
      </c>
    </row>
    <row r="48" ht="15.75" spans="1:7">
      <c r="A48" s="31">
        <v>51</v>
      </c>
      <c r="B48" s="31">
        <v>100</v>
      </c>
      <c r="C48" s="31">
        <v>0.85</v>
      </c>
      <c r="D48">
        <f>IF(E47&gt;B48,B48-SUM($D$46:D47),E47)</f>
        <v>50</v>
      </c>
      <c r="E48">
        <f t="shared" si="2"/>
        <v>62</v>
      </c>
      <c r="G48">
        <f t="shared" si="1"/>
        <v>42.5</v>
      </c>
    </row>
    <row r="49" ht="15.75" spans="1:7">
      <c r="A49" s="31">
        <v>101</v>
      </c>
      <c r="B49" s="31">
        <v>190</v>
      </c>
      <c r="C49" s="31">
        <v>0.8</v>
      </c>
      <c r="D49">
        <f>IF(E48&gt;B49,B49-SUM($D$46:D48),E48)</f>
        <v>62</v>
      </c>
      <c r="E49">
        <f t="shared" si="2"/>
        <v>0</v>
      </c>
      <c r="G49">
        <f t="shared" si="1"/>
        <v>49.6</v>
      </c>
    </row>
    <row r="50" ht="15.75" spans="1:7">
      <c r="A50" s="31">
        <v>191</v>
      </c>
      <c r="B50" s="31">
        <v>2000</v>
      </c>
      <c r="C50" s="31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1" t="s">
        <v>83</v>
      </c>
      <c r="B51" s="31"/>
      <c r="C51" s="31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8" t="s">
        <v>63</v>
      </c>
      <c r="G52">
        <f>SUM(G46:G51)</f>
        <v>138.1</v>
      </c>
    </row>
  </sheetData>
  <mergeCells count="25">
    <mergeCell ref="O1:P1"/>
    <mergeCell ref="D7:E7"/>
    <mergeCell ref="A13:B13"/>
    <mergeCell ref="E13:F13"/>
    <mergeCell ref="G13:H13"/>
    <mergeCell ref="A14:B14"/>
    <mergeCell ref="A15:B15"/>
    <mergeCell ref="A16:B16"/>
    <mergeCell ref="N21:O21"/>
    <mergeCell ref="A22:B22"/>
    <mergeCell ref="D22:F22"/>
    <mergeCell ref="N22:O22"/>
    <mergeCell ref="A23:B23"/>
    <mergeCell ref="D23:F23"/>
    <mergeCell ref="L23:M23"/>
    <mergeCell ref="N23:O23"/>
    <mergeCell ref="A24:B24"/>
    <mergeCell ref="D24:F24"/>
    <mergeCell ref="L24:M24"/>
    <mergeCell ref="N24:O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2018-06-27T14:04:53Z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