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das\Desktop\PQ2022_Exc\"/>
    </mc:Choice>
  </mc:AlternateContent>
  <bookViews>
    <workbookView xWindow="0" yWindow="0" windowWidth="20490" windowHeight="7755" tabRatio="1000" activeTab="1"/>
  </bookViews>
  <sheets>
    <sheet name="Reglas Polla" sheetId="11" r:id="rId1"/>
    <sheet name="Grupo A" sheetId="1" r:id="rId2"/>
    <sheet name="Grupo B" sheetId="12" r:id="rId3"/>
    <sheet name="Grupo C" sheetId="13" r:id="rId4"/>
    <sheet name="Grupo D" sheetId="14" r:id="rId5"/>
    <sheet name="Grupo E" sheetId="15" r:id="rId6"/>
    <sheet name="Grupo F" sheetId="16" r:id="rId7"/>
    <sheet name="Grupo G" sheetId="17" r:id="rId8"/>
    <sheet name="Grupo H" sheetId="18" r:id="rId9"/>
    <sheet name="Cuadro Final" sheetId="9" r:id="rId10"/>
    <sheet name="Goleador" sheetId="19" r:id="rId11"/>
    <sheet name="Puntuación Total" sheetId="10" r:id="rId12"/>
    <sheet name="DB_PARTIDOS" sheetId="20" r:id="rId13"/>
  </sheets>
  <externalReferences>
    <externalReference r:id="rId14"/>
    <externalReference r:id="rId15"/>
  </externalReferences>
  <definedNames>
    <definedName name="Auxi1" localSheetId="12">'[1]Grupo A'!$AH$16:$AH$19</definedName>
    <definedName name="Auxi1" localSheetId="2">'Grupo B'!$AI$16:$AI$19</definedName>
    <definedName name="Auxi1" localSheetId="3">'Grupo C'!$AI$16:$AI$19</definedName>
    <definedName name="Auxi1" localSheetId="4">'Grupo D'!$AI$16:$AI$19</definedName>
    <definedName name="Auxi1" localSheetId="5">'Grupo E'!$AI$16:$AI$19</definedName>
    <definedName name="Auxi1" localSheetId="6">'Grupo F'!$AI$16:$AI$19</definedName>
    <definedName name="Auxi1" localSheetId="7">'Grupo G'!$AI$16:$AI$19</definedName>
    <definedName name="Auxi1" localSheetId="8">'Grupo H'!$AI$16:$AI$19</definedName>
    <definedName name="Auxi1">'Grupo A'!$AI$16:$AI$19</definedName>
    <definedName name="Auxi2" localSheetId="2">'Grupo B'!$AN$16:$AN$19</definedName>
    <definedName name="Auxi2" localSheetId="3">'Grupo C'!$AN$16:$AN$19</definedName>
    <definedName name="Auxi2" localSheetId="4">'Grupo D'!$AN$16:$AN$19</definedName>
    <definedName name="Auxi2" localSheetId="5">'Grupo E'!$AN$16:$AN$19</definedName>
    <definedName name="Auxi2" localSheetId="6">'Grupo F'!$AN$16:$AN$19</definedName>
    <definedName name="Auxi2" localSheetId="7">'Grupo G'!$AN$16:$AN$19</definedName>
    <definedName name="Auxi2" localSheetId="8">'Grupo H'!$AN$16:$AN$19</definedName>
    <definedName name="Auxi2">'Grupo A'!$AN$16:$AN$19</definedName>
    <definedName name="Auxi3" localSheetId="12">'[1]Grupo A'!$AQ$16:$AQ$19</definedName>
    <definedName name="Auxi3" localSheetId="2">'Grupo B'!$AR$16:$AR$19</definedName>
    <definedName name="Auxi3" localSheetId="3">'Grupo C'!$AR$16:$AR$19</definedName>
    <definedName name="Auxi3" localSheetId="4">'Grupo D'!$AR$16:$AR$19</definedName>
    <definedName name="Auxi3" localSheetId="5">'Grupo E'!$AR$16:$AR$19</definedName>
    <definedName name="Auxi3" localSheetId="6">'Grupo F'!$AR$16:$AR$19</definedName>
    <definedName name="Auxi3" localSheetId="7">'Grupo G'!$AR$16:$AR$19</definedName>
    <definedName name="Auxi3" localSheetId="8">'Grupo H'!$AR$16:$AR$19</definedName>
    <definedName name="Auxi3">'Grupo A'!$AR$16:$AR$19</definedName>
    <definedName name="DG" localSheetId="12">'[1]Grupo A'!$AE$16:$AE$19</definedName>
    <definedName name="DG" localSheetId="2">'Grupo B'!$AF$16:$AF$19</definedName>
    <definedName name="DG" localSheetId="3">'Grupo C'!$AF$16:$AF$19</definedName>
    <definedName name="DG" localSheetId="4">'Grupo D'!$AF$16:$AF$19</definedName>
    <definedName name="DG" localSheetId="5">'Grupo E'!$AF$16:$AF$19</definedName>
    <definedName name="DG" localSheetId="6">'Grupo F'!$AF$16:$AF$19</definedName>
    <definedName name="DG" localSheetId="7">'Grupo G'!$AF$16:$AF$19</definedName>
    <definedName name="DG" localSheetId="8">'Grupo H'!$AF$16:$AF$19</definedName>
    <definedName name="DG">'Grupo A'!$AF$16:$AF$19</definedName>
    <definedName name="Empatados" localSheetId="12">'[1]Grupo A'!$AA$16:$AA$19</definedName>
    <definedName name="Empatados" localSheetId="2">'Grupo B'!$AB$16:$AB$19</definedName>
    <definedName name="Empatados" localSheetId="3">'Grupo C'!$AB$16:$AB$19</definedName>
    <definedName name="Empatados" localSheetId="4">'Grupo D'!$AB$16:$AB$19</definedName>
    <definedName name="Empatados" localSheetId="5">'Grupo E'!$AB$16:$AB$19</definedName>
    <definedName name="Empatados" localSheetId="6">'Grupo F'!$AB$16:$AB$19</definedName>
    <definedName name="Empatados" localSheetId="7">'Grupo G'!$AB$16:$AB$19</definedName>
    <definedName name="Empatados" localSheetId="8">'Grupo H'!$AB$16:$AB$19</definedName>
    <definedName name="Empatados">'Grupo A'!$AB$16:$AB$19</definedName>
    <definedName name="Equipos" localSheetId="12">'[1]Grupo A'!$Y$16:$Y$19</definedName>
    <definedName name="Equipos" localSheetId="2">'Grupo B'!$Z$16:$Z$19</definedName>
    <definedName name="Equipos" localSheetId="3">'Grupo C'!$Z$16:$Z$19</definedName>
    <definedName name="Equipos" localSheetId="4">'Grupo D'!$Z$16:$Z$19</definedName>
    <definedName name="Equipos" localSheetId="5">'Grupo E'!$Z$16:$Z$19</definedName>
    <definedName name="Equipos" localSheetId="6">'Grupo F'!$Z$16:$Z$19</definedName>
    <definedName name="Equipos" localSheetId="7">'Grupo G'!$Z$16:$Z$19</definedName>
    <definedName name="Equipos" localSheetId="8">'Grupo H'!$Z$16:$Z$19</definedName>
    <definedName name="Equipos">'Grupo A'!$Z$16:$Z$19</definedName>
    <definedName name="Ganados" localSheetId="12">'[1]Grupo A'!$Z$16:$Z$19</definedName>
    <definedName name="Ganados" localSheetId="2">'Grupo B'!$AA$16:$AA$19</definedName>
    <definedName name="Ganados" localSheetId="3">'Grupo C'!$AA$16:$AA$19</definedName>
    <definedName name="Ganados" localSheetId="4">'Grupo D'!$AA$16:$AA$19</definedName>
    <definedName name="Ganados" localSheetId="5">'Grupo E'!$AA$16:$AA$19</definedName>
    <definedName name="Ganados" localSheetId="6">'Grupo F'!$AA$16:$AA$19</definedName>
    <definedName name="Ganados" localSheetId="7">'Grupo G'!$AA$16:$AA$19</definedName>
    <definedName name="Ganados" localSheetId="8">'Grupo H'!$AA$16:$AA$19</definedName>
    <definedName name="Ganados">'Grupo A'!$AA$16:$AA$19</definedName>
    <definedName name="GC" localSheetId="12">'[1]Grupo A'!$AD$16:$AD$19</definedName>
    <definedName name="GC" localSheetId="2">'Grupo B'!$AE$16:$AE$19</definedName>
    <definedName name="GC" localSheetId="3">'Grupo C'!$AE$16:$AE$19</definedName>
    <definedName name="GC" localSheetId="4">'Grupo D'!$AE$16:$AE$19</definedName>
    <definedName name="GC" localSheetId="5">'Grupo E'!$AE$16:$AE$19</definedName>
    <definedName name="GC" localSheetId="6">'Grupo F'!$AE$16:$AE$19</definedName>
    <definedName name="GC" localSheetId="7">'Grupo G'!$AE$16:$AE$19</definedName>
    <definedName name="GC" localSheetId="8">'Grupo H'!$AE$16:$AE$19</definedName>
    <definedName name="GC">'Grupo A'!$AE$16:$AE$19</definedName>
    <definedName name="GF" localSheetId="12">'[1]Grupo A'!$AC$16:$AC$19</definedName>
    <definedName name="GF" localSheetId="2">'Grupo B'!$AD$16:$AD$19</definedName>
    <definedName name="GF" localSheetId="3">'Grupo C'!$AD$16:$AD$19</definedName>
    <definedName name="GF" localSheetId="4">'Grupo D'!$AD$16:$AD$19</definedName>
    <definedName name="GF" localSheetId="5">'Grupo E'!$AD$16:$AD$19</definedName>
    <definedName name="GF" localSheetId="6">'Grupo F'!$AD$16:$AD$19</definedName>
    <definedName name="GF" localSheetId="7">'Grupo G'!$AD$16:$AD$19</definedName>
    <definedName name="GF" localSheetId="8">'Grupo H'!$AD$16:$AD$19</definedName>
    <definedName name="GF">'Grupo A'!$AD$16:$AD$19</definedName>
    <definedName name="Jera" localSheetId="2">'Grupo B'!$AJ$16:$AJ$19</definedName>
    <definedName name="Jera" localSheetId="3">'Grupo C'!$AJ$16:$AJ$19</definedName>
    <definedName name="Jera" localSheetId="4">'Grupo D'!$AJ$16:$AJ$19</definedName>
    <definedName name="Jera" localSheetId="5">'Grupo E'!$AJ$16:$AJ$19</definedName>
    <definedName name="Jera" localSheetId="6">'Grupo F'!$AJ$16:$AJ$19</definedName>
    <definedName name="Jera" localSheetId="7">'Grupo G'!$AJ$16:$AJ$19</definedName>
    <definedName name="Jera" localSheetId="8">'Grupo H'!$AJ$16:$AJ$19</definedName>
    <definedName name="Jera">'Grupo A'!$AJ$16:$AJ$19</definedName>
    <definedName name="Jera2" localSheetId="12">'[1]Grupo A'!$AR$16:$AR$19</definedName>
    <definedName name="Jera2" localSheetId="2">'Grupo B'!$AS$16:$AS$19</definedName>
    <definedName name="Jera2" localSheetId="3">'Grupo C'!$AS$16:$AS$19</definedName>
    <definedName name="Jera2" localSheetId="4">'Grupo D'!$AS$16:$AS$19</definedName>
    <definedName name="Jera2" localSheetId="5">'Grupo E'!$AS$16:$AS$19</definedName>
    <definedName name="Jera2" localSheetId="6">'Grupo F'!$AS$16:$AS$19</definedName>
    <definedName name="Jera2" localSheetId="7">'Grupo G'!$AS$16:$AS$19</definedName>
    <definedName name="Jera2" localSheetId="8">'Grupo H'!$AS$16:$AS$19</definedName>
    <definedName name="Jera2">'Grupo A'!$AS$16:$AS$19</definedName>
    <definedName name="Perdidos" localSheetId="12">'[1]Grupo A'!$AB$16:$AB$19</definedName>
    <definedName name="Perdidos" localSheetId="2">'Grupo B'!$AC$16:$AC$19</definedName>
    <definedName name="Perdidos" localSheetId="3">'Grupo C'!$AC$16:$AC$19</definedName>
    <definedName name="Perdidos" localSheetId="4">'Grupo D'!$AC$16:$AC$19</definedName>
    <definedName name="Perdidos" localSheetId="5">'Grupo E'!$AC$16:$AC$19</definedName>
    <definedName name="Perdidos" localSheetId="6">'Grupo F'!$AC$16:$AC$19</definedName>
    <definedName name="Perdidos" localSheetId="7">'Grupo G'!$AC$16:$AC$19</definedName>
    <definedName name="Perdidos" localSheetId="8">'Grupo H'!$AC$16:$AC$19</definedName>
    <definedName name="Perdidos">'Grupo A'!$AC$16:$AC$19</definedName>
    <definedName name="PJ" localSheetId="12">'[1]Grupo A'!$AG$16:$AG$19</definedName>
    <definedName name="PJ" localSheetId="2">'Grupo B'!$AH$16:$AH$19</definedName>
    <definedName name="PJ" localSheetId="3">'Grupo C'!$AH$16:$AH$19</definedName>
    <definedName name="PJ" localSheetId="4">'Grupo D'!$AH$16:$AH$19</definedName>
    <definedName name="PJ" localSheetId="5">'Grupo E'!$AH$16:$AH$19</definedName>
    <definedName name="PJ" localSheetId="6">'Grupo F'!$AH$16:$AH$19</definedName>
    <definedName name="PJ" localSheetId="7">'Grupo G'!$AH$16:$AH$19</definedName>
    <definedName name="PJ" localSheetId="8">'Grupo H'!$AH$16:$AH$19</definedName>
    <definedName name="PJ">'Grupo A'!$AH$16:$AH$19</definedName>
    <definedName name="PTS" localSheetId="12">'[1]Grupo A'!$AF$16:$AF$19</definedName>
    <definedName name="PTS" localSheetId="2">'Grupo B'!$AG$16:$AG$19</definedName>
    <definedName name="PTS" localSheetId="3">'Grupo C'!$AG$16:$AG$19</definedName>
    <definedName name="PTS" localSheetId="4">'Grupo D'!$AG$16:$AG$19</definedName>
    <definedName name="PTS" localSheetId="5">'Grupo E'!$AG$16:$AG$19</definedName>
    <definedName name="PTS" localSheetId="6">'Grupo F'!$AG$16:$AG$19</definedName>
    <definedName name="PTS" localSheetId="7">'Grupo G'!$AG$16:$AG$19</definedName>
    <definedName name="PTS" localSheetId="8">'Grupo H'!$AG$16:$AG$19</definedName>
    <definedName name="PTS">'Grupo A'!$AG$16:$AG$19</definedName>
  </definedNames>
  <calcPr calcId="152511"/>
</workbook>
</file>

<file path=xl/calcChain.xml><?xml version="1.0" encoding="utf-8"?>
<calcChain xmlns="http://schemas.openxmlformats.org/spreadsheetml/2006/main">
  <c r="D9" i="19" l="1"/>
  <c r="D8" i="19"/>
  <c r="O17" i="12" l="1"/>
  <c r="O17" i="13"/>
  <c r="O17" i="14"/>
  <c r="O17" i="15"/>
  <c r="O17" i="16"/>
  <c r="O17" i="17"/>
  <c r="O17" i="18"/>
  <c r="O17" i="1"/>
  <c r="O16" i="12"/>
  <c r="O16" i="13"/>
  <c r="O16" i="14"/>
  <c r="O16" i="15"/>
  <c r="O16" i="16"/>
  <c r="O16" i="17"/>
  <c r="O16" i="18"/>
  <c r="O16" i="1"/>
  <c r="X17" i="12"/>
  <c r="X17" i="13"/>
  <c r="X17" i="14"/>
  <c r="X17" i="15"/>
  <c r="X17" i="16"/>
  <c r="X17" i="17"/>
  <c r="X17" i="18"/>
  <c r="X17" i="1"/>
  <c r="X16" i="12"/>
  <c r="X16" i="13"/>
  <c r="X16" i="14"/>
  <c r="X16" i="15"/>
  <c r="X16" i="16"/>
  <c r="X16" i="17"/>
  <c r="X16" i="18"/>
  <c r="X16" i="1"/>
  <c r="H3" i="20" l="1"/>
  <c r="I3" i="20"/>
  <c r="H4" i="20"/>
  <c r="I4" i="20"/>
  <c r="H5" i="20"/>
  <c r="I5" i="20"/>
  <c r="H6" i="20"/>
  <c r="I6" i="20"/>
  <c r="H7" i="20"/>
  <c r="I7" i="20"/>
  <c r="H8" i="20"/>
  <c r="H7" i="12" s="1"/>
  <c r="I8" i="20"/>
  <c r="J17" i="12" s="1"/>
  <c r="H9" i="20"/>
  <c r="I9" i="20"/>
  <c r="H10" i="20"/>
  <c r="I10" i="20"/>
  <c r="H11" i="20"/>
  <c r="I11" i="20"/>
  <c r="H12" i="20"/>
  <c r="I12" i="20"/>
  <c r="H13" i="20"/>
  <c r="I13" i="20"/>
  <c r="H14" i="20"/>
  <c r="H15" i="13" s="1"/>
  <c r="I14" i="20"/>
  <c r="J17" i="13" s="1"/>
  <c r="H15" i="20"/>
  <c r="I15" i="20"/>
  <c r="H16" i="20"/>
  <c r="I16" i="20"/>
  <c r="H17" i="20"/>
  <c r="I17" i="20"/>
  <c r="H18" i="20"/>
  <c r="I18" i="20"/>
  <c r="H19" i="20"/>
  <c r="I19" i="20"/>
  <c r="H20" i="20"/>
  <c r="H13" i="14" s="1"/>
  <c r="I20" i="20"/>
  <c r="J17" i="14" s="1"/>
  <c r="H21" i="20"/>
  <c r="I21" i="20"/>
  <c r="H22" i="20"/>
  <c r="I22" i="20"/>
  <c r="H23" i="20"/>
  <c r="I23" i="20"/>
  <c r="H24" i="20"/>
  <c r="I24" i="20"/>
  <c r="H25" i="20"/>
  <c r="I25" i="20"/>
  <c r="H26" i="20"/>
  <c r="H11" i="15" s="1"/>
  <c r="I26" i="20"/>
  <c r="J15" i="15" s="1"/>
  <c r="H27" i="20"/>
  <c r="I27" i="20"/>
  <c r="H28" i="20"/>
  <c r="I28" i="20"/>
  <c r="H29" i="20"/>
  <c r="I29" i="20"/>
  <c r="H30" i="20"/>
  <c r="I30" i="20"/>
  <c r="H31" i="20"/>
  <c r="I31" i="20"/>
  <c r="H32" i="20"/>
  <c r="H17" i="16" s="1"/>
  <c r="I32" i="20"/>
  <c r="J17" i="16" s="1"/>
  <c r="H33" i="20"/>
  <c r="I33" i="20"/>
  <c r="H34" i="20"/>
  <c r="I34" i="20"/>
  <c r="H35" i="20"/>
  <c r="I35" i="20"/>
  <c r="H36" i="20"/>
  <c r="I36" i="20"/>
  <c r="H37" i="20"/>
  <c r="I37" i="20"/>
  <c r="H38" i="20"/>
  <c r="H7" i="17" s="1"/>
  <c r="I38" i="20"/>
  <c r="J17" i="17" s="1"/>
  <c r="H39" i="20"/>
  <c r="I39" i="20"/>
  <c r="H40" i="20"/>
  <c r="I40" i="20"/>
  <c r="H41" i="20"/>
  <c r="I41" i="20"/>
  <c r="H42" i="20"/>
  <c r="I42" i="20"/>
  <c r="H43" i="20"/>
  <c r="I43" i="20"/>
  <c r="H44" i="20"/>
  <c r="H13" i="18" s="1"/>
  <c r="I44" i="20"/>
  <c r="J17" i="18" s="1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I2" i="20"/>
  <c r="H2" i="20"/>
  <c r="H7" i="1" s="1"/>
  <c r="H7" i="15"/>
  <c r="H7" i="16"/>
  <c r="H7" i="13"/>
  <c r="J17" i="15"/>
  <c r="H17" i="14"/>
  <c r="H17" i="15"/>
  <c r="H17" i="18"/>
  <c r="H15" i="12"/>
  <c r="H15" i="15"/>
  <c r="H15" i="16"/>
  <c r="H13" i="12"/>
  <c r="H13" i="13"/>
  <c r="H13" i="16"/>
  <c r="H13" i="17"/>
  <c r="H11" i="13"/>
  <c r="H11" i="14"/>
  <c r="H11" i="17"/>
  <c r="H11" i="18"/>
  <c r="H9" i="14"/>
  <c r="H9" i="15"/>
  <c r="H9" i="18"/>
  <c r="J16" i="12"/>
  <c r="J16" i="13"/>
  <c r="J16" i="14"/>
  <c r="J16" i="15"/>
  <c r="J16" i="16"/>
  <c r="J16" i="17"/>
  <c r="J16" i="18"/>
  <c r="J16" i="1"/>
  <c r="J14" i="12"/>
  <c r="J14" i="13"/>
  <c r="J14" i="14"/>
  <c r="J14" i="15"/>
  <c r="J14" i="16"/>
  <c r="J14" i="17"/>
  <c r="J14" i="18"/>
  <c r="J14" i="1"/>
  <c r="J12" i="12"/>
  <c r="J12" i="13"/>
  <c r="J12" i="14"/>
  <c r="J12" i="15"/>
  <c r="J12" i="16"/>
  <c r="J12" i="17"/>
  <c r="J12" i="18"/>
  <c r="J12" i="1"/>
  <c r="J10" i="12"/>
  <c r="J10" i="13"/>
  <c r="J10" i="14"/>
  <c r="J10" i="15"/>
  <c r="J10" i="16"/>
  <c r="J10" i="17"/>
  <c r="J10" i="18"/>
  <c r="J10" i="1"/>
  <c r="J8" i="12"/>
  <c r="J8" i="13"/>
  <c r="J8" i="14"/>
  <c r="J8" i="15"/>
  <c r="J8" i="16"/>
  <c r="J8" i="17"/>
  <c r="J8" i="18"/>
  <c r="J8" i="1"/>
  <c r="J6" i="12"/>
  <c r="J6" i="13"/>
  <c r="J6" i="14"/>
  <c r="J6" i="15"/>
  <c r="J6" i="16"/>
  <c r="J6" i="17"/>
  <c r="J6" i="18"/>
  <c r="J6" i="1"/>
  <c r="H16" i="12"/>
  <c r="H16" i="13"/>
  <c r="H16" i="14"/>
  <c r="H16" i="15"/>
  <c r="H16" i="16"/>
  <c r="H16" i="17"/>
  <c r="H16" i="18"/>
  <c r="H16" i="1"/>
  <c r="H14" i="12"/>
  <c r="H14" i="13"/>
  <c r="H14" i="14"/>
  <c r="H14" i="15"/>
  <c r="H14" i="16"/>
  <c r="H14" i="17"/>
  <c r="H14" i="18"/>
  <c r="H14" i="1"/>
  <c r="H12" i="12"/>
  <c r="H12" i="13"/>
  <c r="H12" i="14"/>
  <c r="H12" i="15"/>
  <c r="H12" i="16"/>
  <c r="H12" i="17"/>
  <c r="H12" i="18"/>
  <c r="H12" i="1"/>
  <c r="H10" i="12"/>
  <c r="H10" i="13"/>
  <c r="H10" i="14"/>
  <c r="H10" i="15"/>
  <c r="H10" i="16"/>
  <c r="H10" i="17"/>
  <c r="H10" i="18"/>
  <c r="H10" i="1"/>
  <c r="H8" i="12"/>
  <c r="H8" i="13"/>
  <c r="H8" i="14"/>
  <c r="H8" i="15"/>
  <c r="H8" i="16"/>
  <c r="H8" i="17"/>
  <c r="H8" i="18"/>
  <c r="H8" i="1"/>
  <c r="H6" i="12"/>
  <c r="H6" i="13"/>
  <c r="H6" i="14"/>
  <c r="H6" i="15"/>
  <c r="H6" i="16"/>
  <c r="H6" i="17"/>
  <c r="H6" i="18"/>
  <c r="H6" i="1"/>
  <c r="I6" i="18"/>
  <c r="I6" i="17"/>
  <c r="I6" i="16"/>
  <c r="I6" i="15"/>
  <c r="I6" i="14"/>
  <c r="I6" i="13"/>
  <c r="I6" i="12"/>
  <c r="I8" i="18"/>
  <c r="I8" i="17"/>
  <c r="I8" i="16"/>
  <c r="I8" i="15"/>
  <c r="I8" i="14"/>
  <c r="I8" i="13"/>
  <c r="I8" i="12"/>
  <c r="I10" i="18"/>
  <c r="I10" i="17"/>
  <c r="I10" i="16"/>
  <c r="I10" i="15"/>
  <c r="I10" i="14"/>
  <c r="I10" i="13"/>
  <c r="I10" i="12"/>
  <c r="I12" i="18"/>
  <c r="I12" i="17"/>
  <c r="I12" i="16"/>
  <c r="I12" i="15"/>
  <c r="I12" i="14"/>
  <c r="I12" i="13"/>
  <c r="I12" i="12"/>
  <c r="I14" i="18"/>
  <c r="I14" i="17"/>
  <c r="I14" i="16"/>
  <c r="I14" i="15"/>
  <c r="I14" i="14"/>
  <c r="I14" i="13"/>
  <c r="I14" i="12"/>
  <c r="I16" i="18"/>
  <c r="I16" i="17"/>
  <c r="I16" i="16"/>
  <c r="I16" i="15"/>
  <c r="I16" i="14"/>
  <c r="I16" i="13"/>
  <c r="I16" i="12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B16" i="13"/>
  <c r="B16" i="14"/>
  <c r="B16" i="15"/>
  <c r="B16" i="16"/>
  <c r="B16" i="17"/>
  <c r="B16" i="18"/>
  <c r="B16" i="12"/>
  <c r="B14" i="13"/>
  <c r="B14" i="14"/>
  <c r="B14" i="15"/>
  <c r="B14" i="16"/>
  <c r="B14" i="17"/>
  <c r="B14" i="18"/>
  <c r="B14" i="12"/>
  <c r="B12" i="13"/>
  <c r="B12" i="14"/>
  <c r="B12" i="15"/>
  <c r="B12" i="16"/>
  <c r="B12" i="17"/>
  <c r="B12" i="18"/>
  <c r="B12" i="12"/>
  <c r="B10" i="13"/>
  <c r="B10" i="14"/>
  <c r="B10" i="15"/>
  <c r="B10" i="16"/>
  <c r="B10" i="17"/>
  <c r="B10" i="18"/>
  <c r="B10" i="12"/>
  <c r="B8" i="13"/>
  <c r="B8" i="14"/>
  <c r="B8" i="15"/>
  <c r="B8" i="16"/>
  <c r="B8" i="17"/>
  <c r="B8" i="18"/>
  <c r="B8" i="12"/>
  <c r="B6" i="13"/>
  <c r="B6" i="14"/>
  <c r="B6" i="15"/>
  <c r="B6" i="16"/>
  <c r="B6" i="17"/>
  <c r="B6" i="18"/>
  <c r="B6" i="12"/>
  <c r="B16" i="1"/>
  <c r="B14" i="1"/>
  <c r="B12" i="1"/>
  <c r="B10" i="1"/>
  <c r="B8" i="1"/>
  <c r="B6" i="1"/>
  <c r="H9" i="17" l="1"/>
  <c r="H9" i="13"/>
  <c r="H11" i="16"/>
  <c r="H11" i="12"/>
  <c r="H13" i="15"/>
  <c r="H15" i="18"/>
  <c r="H15" i="14"/>
  <c r="H17" i="17"/>
  <c r="K16" i="17" s="1"/>
  <c r="H17" i="13"/>
  <c r="H7" i="18"/>
  <c r="H7" i="14"/>
  <c r="H9" i="16"/>
  <c r="H9" i="12"/>
  <c r="H15" i="17"/>
  <c r="H17" i="12"/>
  <c r="K16" i="12" s="1"/>
  <c r="J11" i="1"/>
  <c r="J11" i="15"/>
  <c r="J7" i="15"/>
  <c r="J13" i="15"/>
  <c r="J9" i="15"/>
  <c r="K8" i="15" s="1"/>
  <c r="H9" i="1"/>
  <c r="H11" i="1"/>
  <c r="H13" i="1"/>
  <c r="H15" i="1"/>
  <c r="AE7" i="1" s="1"/>
  <c r="H17" i="1"/>
  <c r="J7" i="1"/>
  <c r="J15" i="1"/>
  <c r="J9" i="1"/>
  <c r="J13" i="1"/>
  <c r="J17" i="1"/>
  <c r="J7" i="18"/>
  <c r="K6" i="18" s="1"/>
  <c r="J7" i="14"/>
  <c r="K6" i="14" s="1"/>
  <c r="J9" i="18"/>
  <c r="J9" i="14"/>
  <c r="J11" i="18"/>
  <c r="K10" i="18" s="1"/>
  <c r="J11" i="14"/>
  <c r="K10" i="14" s="1"/>
  <c r="J13" i="18"/>
  <c r="K12" i="18" s="1"/>
  <c r="J13" i="14"/>
  <c r="K12" i="14" s="1"/>
  <c r="J15" i="18"/>
  <c r="K14" i="18" s="1"/>
  <c r="J15" i="14"/>
  <c r="K14" i="14" s="1"/>
  <c r="K16" i="13"/>
  <c r="J7" i="17"/>
  <c r="K6" i="17" s="1"/>
  <c r="J7" i="13"/>
  <c r="K6" i="13" s="1"/>
  <c r="J9" i="17"/>
  <c r="K8" i="17" s="1"/>
  <c r="J9" i="13"/>
  <c r="K8" i="13" s="1"/>
  <c r="J11" i="17"/>
  <c r="K10" i="17" s="1"/>
  <c r="J11" i="13"/>
  <c r="K10" i="13" s="1"/>
  <c r="J13" i="17"/>
  <c r="K12" i="17" s="1"/>
  <c r="J13" i="13"/>
  <c r="K12" i="13" s="1"/>
  <c r="J15" i="17"/>
  <c r="K14" i="17" s="1"/>
  <c r="J15" i="13"/>
  <c r="K14" i="13" s="1"/>
  <c r="K16" i="16"/>
  <c r="J7" i="16"/>
  <c r="K6" i="16" s="1"/>
  <c r="J7" i="12"/>
  <c r="K6" i="12" s="1"/>
  <c r="J9" i="16"/>
  <c r="J9" i="12"/>
  <c r="K8" i="12" s="1"/>
  <c r="J11" i="16"/>
  <c r="K10" i="16" s="1"/>
  <c r="J11" i="12"/>
  <c r="J13" i="16"/>
  <c r="K12" i="16" s="1"/>
  <c r="J13" i="12"/>
  <c r="K12" i="12" s="1"/>
  <c r="J15" i="16"/>
  <c r="K14" i="16" s="1"/>
  <c r="J15" i="12"/>
  <c r="K14" i="12" s="1"/>
  <c r="AE7" i="15"/>
  <c r="K6" i="15"/>
  <c r="K16" i="18"/>
  <c r="K8" i="18"/>
  <c r="K16" i="15"/>
  <c r="K16" i="14"/>
  <c r="K14" i="15"/>
  <c r="K12" i="15"/>
  <c r="K10" i="15"/>
  <c r="K8" i="14"/>
  <c r="F65" i="20"/>
  <c r="D65" i="20"/>
  <c r="F64" i="20"/>
  <c r="D64" i="20"/>
  <c r="F63" i="20"/>
  <c r="D63" i="20"/>
  <c r="F62" i="20"/>
  <c r="D62" i="20"/>
  <c r="F61" i="20"/>
  <c r="D61" i="20"/>
  <c r="F60" i="20"/>
  <c r="D60" i="20"/>
  <c r="F59" i="20"/>
  <c r="D59" i="20"/>
  <c r="F58" i="20"/>
  <c r="D58" i="20"/>
  <c r="F49" i="20"/>
  <c r="D49" i="20"/>
  <c r="F48" i="20"/>
  <c r="D48" i="20"/>
  <c r="F47" i="20"/>
  <c r="D47" i="20"/>
  <c r="F46" i="20"/>
  <c r="D46" i="20"/>
  <c r="F45" i="20"/>
  <c r="D45" i="20"/>
  <c r="F44" i="20"/>
  <c r="D44" i="20"/>
  <c r="F43" i="20"/>
  <c r="D43" i="20"/>
  <c r="F42" i="20"/>
  <c r="D42" i="20"/>
  <c r="F41" i="20"/>
  <c r="D41" i="20"/>
  <c r="F40" i="20"/>
  <c r="D40" i="20"/>
  <c r="F39" i="20"/>
  <c r="D39" i="20"/>
  <c r="F38" i="20"/>
  <c r="D38" i="20"/>
  <c r="F37" i="20"/>
  <c r="D37" i="20"/>
  <c r="F36" i="20"/>
  <c r="D36" i="20"/>
  <c r="F35" i="20"/>
  <c r="D35" i="20"/>
  <c r="F34" i="20"/>
  <c r="D34" i="20"/>
  <c r="F33" i="20"/>
  <c r="D33" i="20"/>
  <c r="F32" i="20"/>
  <c r="D32" i="20"/>
  <c r="F31" i="20"/>
  <c r="D31" i="20"/>
  <c r="F30" i="20"/>
  <c r="D30" i="20"/>
  <c r="F29" i="20"/>
  <c r="D29" i="20"/>
  <c r="F28" i="20"/>
  <c r="D28" i="20"/>
  <c r="F27" i="20"/>
  <c r="D27" i="20"/>
  <c r="F26" i="20"/>
  <c r="D26" i="20"/>
  <c r="F25" i="20"/>
  <c r="D25" i="20"/>
  <c r="B25" i="20"/>
  <c r="F24" i="20"/>
  <c r="D24" i="20"/>
  <c r="B24" i="20"/>
  <c r="F23" i="20"/>
  <c r="D23" i="20"/>
  <c r="B23" i="20"/>
  <c r="F22" i="20"/>
  <c r="D22" i="20"/>
  <c r="B22" i="20"/>
  <c r="F21" i="20"/>
  <c r="D21" i="20"/>
  <c r="B21" i="20"/>
  <c r="F20" i="20"/>
  <c r="D20" i="20"/>
  <c r="B20" i="20"/>
  <c r="F19" i="20"/>
  <c r="D19" i="20"/>
  <c r="B19" i="20"/>
  <c r="F18" i="20"/>
  <c r="D18" i="20"/>
  <c r="B18" i="20"/>
  <c r="F17" i="20"/>
  <c r="D17" i="20"/>
  <c r="B17" i="20"/>
  <c r="F16" i="20"/>
  <c r="D16" i="20"/>
  <c r="B16" i="20"/>
  <c r="F15" i="20"/>
  <c r="D15" i="20"/>
  <c r="B15" i="20"/>
  <c r="F14" i="20"/>
  <c r="D14" i="20"/>
  <c r="B14" i="20"/>
  <c r="F13" i="20"/>
  <c r="D13" i="20"/>
  <c r="B13" i="20"/>
  <c r="F12" i="20"/>
  <c r="D12" i="20"/>
  <c r="B12" i="20"/>
  <c r="F11" i="20"/>
  <c r="D11" i="20"/>
  <c r="B11" i="20"/>
  <c r="F10" i="20"/>
  <c r="D10" i="20"/>
  <c r="B10" i="20"/>
  <c r="F9" i="20"/>
  <c r="D9" i="20"/>
  <c r="B9" i="20"/>
  <c r="F8" i="20"/>
  <c r="D8" i="20"/>
  <c r="B8" i="20"/>
  <c r="B7" i="20"/>
  <c r="A7" i="20" s="1"/>
  <c r="B6" i="20"/>
  <c r="A6" i="20" s="1"/>
  <c r="B5" i="20"/>
  <c r="A5" i="20" s="1"/>
  <c r="B4" i="20"/>
  <c r="A4" i="20" s="1"/>
  <c r="B3" i="20"/>
  <c r="A3" i="20" s="1"/>
  <c r="B2" i="20"/>
  <c r="A2" i="20" s="1"/>
  <c r="K10" i="12" l="1"/>
  <c r="K8" i="16"/>
  <c r="AC7" i="1"/>
  <c r="AE7" i="14"/>
  <c r="AA7" i="1"/>
  <c r="AE7" i="16"/>
  <c r="AE7" i="18"/>
  <c r="AE7" i="12"/>
  <c r="AE7" i="17"/>
  <c r="AE7" i="13"/>
  <c r="K10" i="1"/>
  <c r="K12" i="1"/>
  <c r="K16" i="1" l="1"/>
  <c r="K8" i="1"/>
  <c r="K14" i="1"/>
  <c r="F8" i="19"/>
  <c r="G10" i="17"/>
  <c r="G10" i="18"/>
  <c r="G10" i="16"/>
  <c r="G14" i="17"/>
  <c r="G14" i="18"/>
  <c r="G14" i="16"/>
  <c r="G16" i="17"/>
  <c r="G16" i="18"/>
  <c r="G16" i="16"/>
  <c r="G10" i="15"/>
  <c r="G14" i="15"/>
  <c r="G16" i="15"/>
  <c r="AC7" i="15" l="1"/>
  <c r="AC7" i="16"/>
  <c r="AC7" i="17"/>
  <c r="AC7" i="18"/>
  <c r="AC7" i="14"/>
  <c r="AC13" i="15"/>
  <c r="AC13" i="16"/>
  <c r="AC13" i="17"/>
  <c r="AC13" i="18"/>
  <c r="AC13" i="14"/>
  <c r="AC19" i="14" s="1"/>
  <c r="AB13" i="15"/>
  <c r="AB13" i="16"/>
  <c r="AB13" i="17"/>
  <c r="AB13" i="18"/>
  <c r="AB13" i="14"/>
  <c r="AB19" i="14" s="1"/>
  <c r="AA13" i="15"/>
  <c r="AA13" i="16"/>
  <c r="AA13" i="17"/>
  <c r="AA13" i="18"/>
  <c r="AA13" i="14"/>
  <c r="AA19" i="14" s="1"/>
  <c r="AE13" i="15"/>
  <c r="AE13" i="16"/>
  <c r="AE13" i="17"/>
  <c r="AE13" i="18"/>
  <c r="AE13" i="14"/>
  <c r="AE19" i="14" s="1"/>
  <c r="AE11" i="15"/>
  <c r="AE11" i="16"/>
  <c r="AE11" i="17"/>
  <c r="AE11" i="18"/>
  <c r="AE11" i="14"/>
  <c r="AD11" i="15"/>
  <c r="AD11" i="16"/>
  <c r="AD11" i="17"/>
  <c r="AD11" i="18"/>
  <c r="AD11" i="14"/>
  <c r="AC11" i="15"/>
  <c r="AC11" i="16"/>
  <c r="AC11" i="17"/>
  <c r="AC11" i="18"/>
  <c r="AC11" i="14"/>
  <c r="AB11" i="15"/>
  <c r="AB11" i="16"/>
  <c r="AB11" i="17"/>
  <c r="AB11" i="18"/>
  <c r="AB11" i="14"/>
  <c r="AA11" i="15"/>
  <c r="AA11" i="16"/>
  <c r="AA11" i="17"/>
  <c r="AA11" i="18"/>
  <c r="AA11" i="14"/>
  <c r="AC9" i="15"/>
  <c r="AC9" i="16"/>
  <c r="AC9" i="17"/>
  <c r="AC9" i="18"/>
  <c r="AC9" i="14"/>
  <c r="L14" i="15"/>
  <c r="AD13" i="15"/>
  <c r="L14" i="16"/>
  <c r="AD13" i="16"/>
  <c r="L14" i="17"/>
  <c r="AD13" i="17"/>
  <c r="L14" i="18"/>
  <c r="AD13" i="18"/>
  <c r="L14" i="14"/>
  <c r="AD13" i="14"/>
  <c r="AB9" i="15"/>
  <c r="AB9" i="16"/>
  <c r="AB9" i="17"/>
  <c r="AB9" i="18"/>
  <c r="AB9" i="14"/>
  <c r="AB7" i="15"/>
  <c r="AB7" i="16"/>
  <c r="AB7" i="17"/>
  <c r="AB7" i="18"/>
  <c r="AB7" i="14"/>
  <c r="AB16" i="14" s="1"/>
  <c r="AA7" i="15"/>
  <c r="AA7" i="16"/>
  <c r="AA7" i="17"/>
  <c r="AA7" i="18"/>
  <c r="AA7" i="14"/>
  <c r="AA16" i="14" s="1"/>
  <c r="AA9" i="15"/>
  <c r="AA9" i="16"/>
  <c r="AA9" i="17"/>
  <c r="AA9" i="18"/>
  <c r="AA9" i="14"/>
  <c r="AE9" i="15"/>
  <c r="AE9" i="16"/>
  <c r="AE9" i="17"/>
  <c r="AE9" i="18"/>
  <c r="AE9" i="14"/>
  <c r="AE16" i="14"/>
  <c r="AD9" i="15"/>
  <c r="AD9" i="16"/>
  <c r="AD9" i="17"/>
  <c r="AD9" i="18"/>
  <c r="AD9" i="14"/>
  <c r="AD7" i="15"/>
  <c r="AD7" i="16"/>
  <c r="AD7" i="17"/>
  <c r="AD7" i="18"/>
  <c r="AD7" i="14"/>
  <c r="AD16" i="14" s="1"/>
  <c r="G16" i="14"/>
  <c r="G14" i="14"/>
  <c r="G10" i="14"/>
  <c r="AD19" i="14"/>
  <c r="AE9" i="12" l="1"/>
  <c r="AE13" i="12"/>
  <c r="AE11" i="12"/>
  <c r="AC11" i="12"/>
  <c r="AA11" i="12"/>
  <c r="AD13" i="12"/>
  <c r="AD11" i="12"/>
  <c r="AD9" i="12"/>
  <c r="AD7" i="12"/>
  <c r="AA9" i="12"/>
  <c r="AC9" i="12"/>
  <c r="AC13" i="12"/>
  <c r="AB13" i="12"/>
  <c r="AA13" i="12"/>
  <c r="AB11" i="12"/>
  <c r="AB9" i="12"/>
  <c r="AC7" i="12"/>
  <c r="AB7" i="12"/>
  <c r="AA7" i="12"/>
  <c r="AG9" i="12" l="1"/>
  <c r="AH9" i="12"/>
  <c r="G16" i="12"/>
  <c r="G14" i="12"/>
  <c r="G10" i="12"/>
  <c r="I14" i="1"/>
  <c r="F6" i="20" s="1"/>
  <c r="G12" i="1"/>
  <c r="D5" i="20" s="1"/>
  <c r="G10" i="1"/>
  <c r="D4" i="20" s="1"/>
  <c r="I12" i="1"/>
  <c r="F5" i="20" s="1"/>
  <c r="G14" i="1"/>
  <c r="D6" i="20" s="1"/>
  <c r="I16" i="1"/>
  <c r="F7" i="20" s="1"/>
  <c r="I10" i="1"/>
  <c r="F4" i="20" s="1"/>
  <c r="I8" i="1"/>
  <c r="F3" i="20" s="1"/>
  <c r="G8" i="1"/>
  <c r="D3" i="20" s="1"/>
  <c r="G16" i="1"/>
  <c r="D7" i="20" s="1"/>
  <c r="I6" i="1"/>
  <c r="F2" i="20" s="1"/>
  <c r="G12" i="13"/>
  <c r="G10" i="13"/>
  <c r="G16" i="13"/>
  <c r="G8" i="13"/>
  <c r="G14" i="13"/>
  <c r="G12" i="14"/>
  <c r="G12" i="15"/>
  <c r="G12" i="16"/>
  <c r="G12" i="17"/>
  <c r="G12" i="18"/>
  <c r="G12" i="12"/>
  <c r="G8" i="12"/>
  <c r="G8" i="14"/>
  <c r="G8" i="15"/>
  <c r="G8" i="16"/>
  <c r="G8" i="17"/>
  <c r="G8" i="18"/>
  <c r="G6" i="12"/>
  <c r="G6" i="13"/>
  <c r="G6" i="14"/>
  <c r="G6" i="15"/>
  <c r="G6" i="16"/>
  <c r="G6" i="17"/>
  <c r="G6" i="18"/>
  <c r="G6" i="1"/>
  <c r="D2" i="20" s="1"/>
  <c r="Z13" i="12" l="1"/>
  <c r="Z13" i="14"/>
  <c r="C26" i="14" s="1"/>
  <c r="Z13" i="15"/>
  <c r="C26" i="15" s="1"/>
  <c r="Z13" i="16"/>
  <c r="C26" i="16" s="1"/>
  <c r="Z13" i="17"/>
  <c r="C26" i="17" s="1"/>
  <c r="Z13" i="18"/>
  <c r="C26" i="18" s="1"/>
  <c r="Z13" i="1"/>
  <c r="C26" i="1" s="1"/>
  <c r="Z11" i="12"/>
  <c r="C25" i="12" s="1"/>
  <c r="Z11" i="13"/>
  <c r="C25" i="13" s="1"/>
  <c r="Z11" i="14"/>
  <c r="C25" i="14" s="1"/>
  <c r="Z11" i="15"/>
  <c r="C25" i="15" s="1"/>
  <c r="Z11" i="16"/>
  <c r="C25" i="16" s="1"/>
  <c r="Z11" i="17"/>
  <c r="C25" i="17" s="1"/>
  <c r="Z11" i="18"/>
  <c r="C25" i="18" s="1"/>
  <c r="Z11" i="1"/>
  <c r="C25" i="1" s="1"/>
  <c r="Z9" i="12"/>
  <c r="C24" i="12" s="1"/>
  <c r="Z9" i="13"/>
  <c r="C24" i="13" s="1"/>
  <c r="Z9" i="14"/>
  <c r="C24" i="14" s="1"/>
  <c r="Z9" i="15"/>
  <c r="C24" i="15" s="1"/>
  <c r="Z9" i="16"/>
  <c r="C24" i="16" s="1"/>
  <c r="Z9" i="17"/>
  <c r="C24" i="17" s="1"/>
  <c r="Z9" i="18"/>
  <c r="C24" i="18" s="1"/>
  <c r="Z9" i="1"/>
  <c r="C24" i="1" s="1"/>
  <c r="Z7" i="12"/>
  <c r="C23" i="12" s="1"/>
  <c r="Z7" i="13"/>
  <c r="C23" i="13" s="1"/>
  <c r="Z7" i="14"/>
  <c r="C23" i="14" s="1"/>
  <c r="Z7" i="15"/>
  <c r="C23" i="15" s="1"/>
  <c r="Z7" i="16"/>
  <c r="C23" i="16" s="1"/>
  <c r="Z7" i="17"/>
  <c r="C23" i="17" s="1"/>
  <c r="Z7" i="18"/>
  <c r="C23" i="18" s="1"/>
  <c r="Z7" i="1"/>
  <c r="C23" i="1" s="1"/>
  <c r="C26" i="12"/>
  <c r="B13" i="10" l="1"/>
  <c r="F9" i="19"/>
  <c r="AE18" i="14" l="1"/>
  <c r="AD18" i="14"/>
  <c r="AC18" i="14"/>
  <c r="AB18" i="14"/>
  <c r="AA18" i="14"/>
  <c r="AE17" i="14"/>
  <c r="AD17" i="14"/>
  <c r="AC17" i="14"/>
  <c r="AB17" i="14"/>
  <c r="AA17" i="14"/>
  <c r="AC16" i="14"/>
  <c r="AE13" i="13"/>
  <c r="AD13" i="13"/>
  <c r="AC13" i="13"/>
  <c r="AB13" i="13"/>
  <c r="AA13" i="13"/>
  <c r="AE11" i="13"/>
  <c r="AD11" i="13"/>
  <c r="AC11" i="13"/>
  <c r="AB11" i="13"/>
  <c r="AA11" i="13"/>
  <c r="AE9" i="13"/>
  <c r="AD9" i="13"/>
  <c r="AC9" i="13"/>
  <c r="AB9" i="13"/>
  <c r="AA9" i="13"/>
  <c r="AD7" i="13"/>
  <c r="AC7" i="13"/>
  <c r="AB7" i="13"/>
  <c r="AA7" i="13"/>
  <c r="AC19" i="12"/>
  <c r="AC18" i="12"/>
  <c r="AC16" i="12"/>
  <c r="AC17" i="12"/>
  <c r="AB19" i="12"/>
  <c r="AB18" i="12"/>
  <c r="AB17" i="12"/>
  <c r="AB16" i="12"/>
  <c r="AA17" i="12"/>
  <c r="AA19" i="12"/>
  <c r="AA18" i="12"/>
  <c r="AA16" i="12"/>
  <c r="AA9" i="1"/>
  <c r="AA11" i="1"/>
  <c r="AG7" i="12" l="1"/>
  <c r="U12" i="9"/>
  <c r="S11" i="9" s="1"/>
  <c r="R33" i="9"/>
  <c r="L16" i="13" l="1"/>
  <c r="L14" i="13"/>
  <c r="L12" i="13"/>
  <c r="L10" i="13"/>
  <c r="L8" i="13"/>
  <c r="L6" i="13"/>
  <c r="D6" i="10" l="1"/>
  <c r="M8" i="13"/>
  <c r="M6" i="13"/>
  <c r="C6" i="10"/>
  <c r="M16" i="13"/>
  <c r="M14" i="13"/>
  <c r="M12" i="13"/>
  <c r="M10" i="13"/>
  <c r="O14" i="9" l="1"/>
  <c r="P14" i="9" s="1"/>
  <c r="X32" i="9"/>
  <c r="V31" i="9" s="1"/>
  <c r="X24" i="9"/>
  <c r="V23" i="9" s="1"/>
  <c r="X16" i="9"/>
  <c r="V15" i="9" s="1"/>
  <c r="X8" i="9"/>
  <c r="V7" i="9" s="1"/>
  <c r="P28" i="9"/>
  <c r="P15" i="9"/>
  <c r="O27" i="9"/>
  <c r="P27" i="9" s="1"/>
  <c r="F16" i="9"/>
  <c r="G15" i="9" s="1"/>
  <c r="F32" i="9"/>
  <c r="G31" i="9" s="1"/>
  <c r="F24" i="9"/>
  <c r="G23" i="9" s="1"/>
  <c r="I28" i="9" l="1"/>
  <c r="J27" i="9" s="1"/>
  <c r="U28" i="9"/>
  <c r="S27" i="9" s="1"/>
  <c r="L20" i="9" l="1"/>
  <c r="M19" i="9" s="1"/>
  <c r="R20" i="9"/>
  <c r="P19" i="9" s="1"/>
  <c r="L16" i="18"/>
  <c r="AE19" i="18"/>
  <c r="AD19" i="18"/>
  <c r="AC19" i="18"/>
  <c r="AA19" i="18"/>
  <c r="L12" i="18"/>
  <c r="AE18" i="18"/>
  <c r="AD18" i="18"/>
  <c r="AC18" i="18"/>
  <c r="AA18" i="18"/>
  <c r="L10" i="18"/>
  <c r="AE17" i="18"/>
  <c r="AD17" i="18"/>
  <c r="AC17" i="18"/>
  <c r="AA17" i="18"/>
  <c r="L8" i="18"/>
  <c r="AE16" i="18"/>
  <c r="AD16" i="18"/>
  <c r="AC16" i="18"/>
  <c r="AA16" i="18"/>
  <c r="L6" i="18"/>
  <c r="L16" i="17"/>
  <c r="AE19" i="17"/>
  <c r="AD19" i="17"/>
  <c r="AC19" i="17"/>
  <c r="AB19" i="17"/>
  <c r="AA19" i="17"/>
  <c r="L12" i="17"/>
  <c r="AE18" i="17"/>
  <c r="AD18" i="17"/>
  <c r="AC18" i="17"/>
  <c r="AB18" i="17"/>
  <c r="L10" i="17"/>
  <c r="AE17" i="17"/>
  <c r="AF9" i="17"/>
  <c r="AF17" i="17" s="1"/>
  <c r="AC17" i="17"/>
  <c r="AB17" i="17"/>
  <c r="AA17" i="17"/>
  <c r="L8" i="17"/>
  <c r="AE16" i="17"/>
  <c r="AD16" i="17"/>
  <c r="AC16" i="17"/>
  <c r="AB16" i="17"/>
  <c r="AH7" i="17"/>
  <c r="AH16" i="17" s="1"/>
  <c r="L6" i="17"/>
  <c r="M6" i="17" s="1"/>
  <c r="L16" i="16"/>
  <c r="M14" i="16"/>
  <c r="AE19" i="16"/>
  <c r="AD19" i="16"/>
  <c r="AC19" i="16"/>
  <c r="AB19" i="16"/>
  <c r="AA19" i="16"/>
  <c r="L12" i="16"/>
  <c r="AE18" i="16"/>
  <c r="AC18" i="16"/>
  <c r="AB18" i="16"/>
  <c r="AA18" i="16"/>
  <c r="L10" i="16"/>
  <c r="AE17" i="16"/>
  <c r="AD17" i="16"/>
  <c r="AC17" i="16"/>
  <c r="AB17" i="16"/>
  <c r="AA17" i="16"/>
  <c r="L8" i="16"/>
  <c r="AE16" i="16"/>
  <c r="AC16" i="16"/>
  <c r="AB16" i="16"/>
  <c r="AA16" i="16"/>
  <c r="L6" i="16"/>
  <c r="L16" i="15"/>
  <c r="AE19" i="15"/>
  <c r="AD19" i="15"/>
  <c r="AC19" i="15"/>
  <c r="AB19" i="15"/>
  <c r="AA19" i="15"/>
  <c r="L12" i="15"/>
  <c r="AE18" i="15"/>
  <c r="AD18" i="15"/>
  <c r="AC18" i="15"/>
  <c r="AB18" i="15"/>
  <c r="AA18" i="15"/>
  <c r="L10" i="15"/>
  <c r="AE17" i="15"/>
  <c r="AD17" i="15"/>
  <c r="AC17" i="15"/>
  <c r="AB17" i="15"/>
  <c r="L8" i="15"/>
  <c r="AE16" i="15"/>
  <c r="AD16" i="15"/>
  <c r="AC16" i="15"/>
  <c r="AB16" i="15"/>
  <c r="AA16" i="15"/>
  <c r="L6" i="15"/>
  <c r="L16" i="14"/>
  <c r="L12" i="14"/>
  <c r="L10" i="14"/>
  <c r="L8" i="14"/>
  <c r="L6" i="14"/>
  <c r="AE19" i="13"/>
  <c r="AD19" i="13"/>
  <c r="AC19" i="13"/>
  <c r="AB19" i="13"/>
  <c r="AA19" i="13"/>
  <c r="AE18" i="13"/>
  <c r="AD18" i="13"/>
  <c r="AC18" i="13"/>
  <c r="AA18" i="13"/>
  <c r="AE17" i="13"/>
  <c r="AD17" i="13"/>
  <c r="AC17" i="13"/>
  <c r="AB17" i="13"/>
  <c r="AA17" i="13"/>
  <c r="AE16" i="13"/>
  <c r="AD16" i="13"/>
  <c r="AC16" i="13"/>
  <c r="AA16" i="13"/>
  <c r="L16" i="12"/>
  <c r="L14" i="12"/>
  <c r="AE19" i="12"/>
  <c r="AD19" i="12"/>
  <c r="L12" i="12"/>
  <c r="AE18" i="12"/>
  <c r="AD18" i="12"/>
  <c r="L10" i="12"/>
  <c r="AE17" i="12"/>
  <c r="AD17" i="12"/>
  <c r="L8" i="12"/>
  <c r="AE16" i="12"/>
  <c r="AD16" i="12"/>
  <c r="L6" i="12"/>
  <c r="L16" i="1"/>
  <c r="L14" i="1"/>
  <c r="L12" i="1"/>
  <c r="L10" i="1"/>
  <c r="L8" i="1"/>
  <c r="M10" i="18" l="1"/>
  <c r="C5" i="10"/>
  <c r="M16" i="14"/>
  <c r="M14" i="17"/>
  <c r="M16" i="17"/>
  <c r="D9" i="10"/>
  <c r="M10" i="17"/>
  <c r="M16" i="16"/>
  <c r="M10" i="14"/>
  <c r="M6" i="14"/>
  <c r="M14" i="14"/>
  <c r="M6" i="15"/>
  <c r="M6" i="16"/>
  <c r="D5" i="10"/>
  <c r="M14" i="18"/>
  <c r="M8" i="14"/>
  <c r="M12" i="15"/>
  <c r="M6" i="18"/>
  <c r="D11" i="10"/>
  <c r="M8" i="18"/>
  <c r="M12" i="18"/>
  <c r="M16" i="18"/>
  <c r="AH7" i="18"/>
  <c r="AH16" i="18" s="1"/>
  <c r="AH11" i="18"/>
  <c r="AH18" i="18" s="1"/>
  <c r="AB16" i="18"/>
  <c r="C11" i="10"/>
  <c r="AH11" i="17"/>
  <c r="AH18" i="17" s="1"/>
  <c r="M8" i="17"/>
  <c r="D10" i="10"/>
  <c r="M12" i="17"/>
  <c r="AD17" i="17"/>
  <c r="C10" i="10"/>
  <c r="M8" i="16"/>
  <c r="M10" i="16"/>
  <c r="M12" i="16"/>
  <c r="AF7" i="16"/>
  <c r="AF16" i="16" s="1"/>
  <c r="AF11" i="16"/>
  <c r="AF18" i="16" s="1"/>
  <c r="C9" i="10"/>
  <c r="D8" i="10"/>
  <c r="M16" i="15"/>
  <c r="M14" i="15"/>
  <c r="M10" i="15"/>
  <c r="M8" i="15"/>
  <c r="AG9" i="15"/>
  <c r="AG17" i="15" s="1"/>
  <c r="C8" i="10"/>
  <c r="AG9" i="14"/>
  <c r="AG17" i="14" s="1"/>
  <c r="AG13" i="14"/>
  <c r="AG19" i="14" s="1"/>
  <c r="D7" i="10"/>
  <c r="M12" i="14"/>
  <c r="C7" i="10"/>
  <c r="M10" i="12"/>
  <c r="AH11" i="13"/>
  <c r="AH18" i="13" s="1"/>
  <c r="M6" i="12"/>
  <c r="M16" i="12"/>
  <c r="M14" i="12"/>
  <c r="M8" i="12"/>
  <c r="AG17" i="12"/>
  <c r="M12" i="12"/>
  <c r="AG13" i="12"/>
  <c r="AG19" i="12" s="1"/>
  <c r="AH7" i="13"/>
  <c r="AH16" i="13" s="1"/>
  <c r="AG7" i="17"/>
  <c r="AG16" i="17" s="1"/>
  <c r="AG9" i="17"/>
  <c r="AG17" i="17" s="1"/>
  <c r="AG11" i="17"/>
  <c r="AG18" i="17" s="1"/>
  <c r="AG13" i="17"/>
  <c r="AG19" i="17" s="1"/>
  <c r="AA16" i="17"/>
  <c r="AA18" i="17"/>
  <c r="AB17" i="18"/>
  <c r="AH9" i="18"/>
  <c r="AH17" i="18" s="1"/>
  <c r="AF9" i="18"/>
  <c r="AF17" i="18" s="1"/>
  <c r="AB19" i="18"/>
  <c r="AH13" i="18"/>
  <c r="AH19" i="18" s="1"/>
  <c r="AF13" i="18"/>
  <c r="AF19" i="18" s="1"/>
  <c r="AF7" i="17"/>
  <c r="AF16" i="17" s="1"/>
  <c r="AH9" i="17"/>
  <c r="AH17" i="17" s="1"/>
  <c r="AF11" i="17"/>
  <c r="AF18" i="17" s="1"/>
  <c r="AF13" i="17"/>
  <c r="AF19" i="17" s="1"/>
  <c r="AH13" i="17"/>
  <c r="AH19" i="17" s="1"/>
  <c r="AF7" i="18"/>
  <c r="AF16" i="18" s="1"/>
  <c r="AF11" i="18"/>
  <c r="AF18" i="18" s="1"/>
  <c r="AB18" i="18"/>
  <c r="AG9" i="18"/>
  <c r="AG17" i="18" s="1"/>
  <c r="AG13" i="18"/>
  <c r="AG19" i="18" s="1"/>
  <c r="AG7" i="18"/>
  <c r="AG16" i="18" s="1"/>
  <c r="AG11" i="18"/>
  <c r="AG18" i="18" s="1"/>
  <c r="AF7" i="15"/>
  <c r="AF16" i="15" s="1"/>
  <c r="AH7" i="15"/>
  <c r="AH16" i="15" s="1"/>
  <c r="AF9" i="15"/>
  <c r="AF17" i="15" s="1"/>
  <c r="AH9" i="15"/>
  <c r="AH17" i="15" s="1"/>
  <c r="AF11" i="15"/>
  <c r="AF18" i="15" s="1"/>
  <c r="AH11" i="15"/>
  <c r="AH18" i="15" s="1"/>
  <c r="AF13" i="15"/>
  <c r="AF19" i="15" s="1"/>
  <c r="AH13" i="15"/>
  <c r="AH19" i="15" s="1"/>
  <c r="AA17" i="15"/>
  <c r="AG7" i="15"/>
  <c r="AG16" i="15" s="1"/>
  <c r="AG11" i="15"/>
  <c r="AG18" i="15" s="1"/>
  <c r="AG13" i="15"/>
  <c r="AG19" i="15" s="1"/>
  <c r="AH7" i="16"/>
  <c r="AH16" i="16" s="1"/>
  <c r="AG9" i="16"/>
  <c r="AG17" i="16" s="1"/>
  <c r="AH9" i="16"/>
  <c r="AH17" i="16" s="1"/>
  <c r="AH11" i="16"/>
  <c r="AH18" i="16" s="1"/>
  <c r="AG13" i="16"/>
  <c r="AG19" i="16" s="1"/>
  <c r="AH13" i="16"/>
  <c r="AH19" i="16" s="1"/>
  <c r="AD16" i="16"/>
  <c r="AD18" i="16"/>
  <c r="AF9" i="16"/>
  <c r="AF17" i="16" s="1"/>
  <c r="AF13" i="16"/>
  <c r="AF19" i="16" s="1"/>
  <c r="AG7" i="16"/>
  <c r="AG16" i="16" s="1"/>
  <c r="AG11" i="16"/>
  <c r="AG18" i="16" s="1"/>
  <c r="AH7" i="14"/>
  <c r="AH16" i="14" s="1"/>
  <c r="AG7" i="14"/>
  <c r="AG16" i="14" s="1"/>
  <c r="AF7" i="14"/>
  <c r="AF16" i="14" s="1"/>
  <c r="AF9" i="14"/>
  <c r="AF17" i="14" s="1"/>
  <c r="AH9" i="14"/>
  <c r="AH17" i="14" s="1"/>
  <c r="AF11" i="14"/>
  <c r="AF18" i="14" s="1"/>
  <c r="AH11" i="14"/>
  <c r="AH18" i="14" s="1"/>
  <c r="AF13" i="14"/>
  <c r="AF19" i="14" s="1"/>
  <c r="AH13" i="14"/>
  <c r="AH19" i="14" s="1"/>
  <c r="AG11" i="14"/>
  <c r="AG18" i="14" s="1"/>
  <c r="AF7" i="13"/>
  <c r="AF16" i="13" s="1"/>
  <c r="AF9" i="13"/>
  <c r="AF17" i="13" s="1"/>
  <c r="AF11" i="13"/>
  <c r="AF18" i="13" s="1"/>
  <c r="AF13" i="13"/>
  <c r="AF19" i="13" s="1"/>
  <c r="AB16" i="13"/>
  <c r="AB18" i="13"/>
  <c r="AG9" i="13"/>
  <c r="AG17" i="13" s="1"/>
  <c r="AH9" i="13"/>
  <c r="AH17" i="13" s="1"/>
  <c r="AG13" i="13"/>
  <c r="AG19" i="13" s="1"/>
  <c r="AH13" i="13"/>
  <c r="AH19" i="13" s="1"/>
  <c r="AG7" i="13"/>
  <c r="AG16" i="13" s="1"/>
  <c r="AG11" i="13"/>
  <c r="AG18" i="13" s="1"/>
  <c r="AH7" i="12"/>
  <c r="AH16" i="12" s="1"/>
  <c r="AG16" i="12"/>
  <c r="AF7" i="12"/>
  <c r="AF16" i="12" s="1"/>
  <c r="AF9" i="12"/>
  <c r="AF17" i="12" s="1"/>
  <c r="AH17" i="12"/>
  <c r="AF11" i="12"/>
  <c r="AF18" i="12" s="1"/>
  <c r="AH11" i="12"/>
  <c r="AH18" i="12" s="1"/>
  <c r="AF13" i="12"/>
  <c r="AF19" i="12" s="1"/>
  <c r="AH13" i="12"/>
  <c r="AH19" i="12" s="1"/>
  <c r="AG11" i="12"/>
  <c r="AG18" i="12" s="1"/>
  <c r="AE13" i="1"/>
  <c r="AE19" i="1" s="1"/>
  <c r="AD13" i="1"/>
  <c r="AD19" i="1" s="1"/>
  <c r="AC13" i="1"/>
  <c r="AC19" i="1" s="1"/>
  <c r="AB13" i="1"/>
  <c r="AB19" i="1" s="1"/>
  <c r="AA13" i="1"/>
  <c r="AA19" i="1" s="1"/>
  <c r="AE11" i="1"/>
  <c r="AE18" i="1" s="1"/>
  <c r="AD11" i="1"/>
  <c r="AC11" i="1"/>
  <c r="AC18" i="1" s="1"/>
  <c r="AB11" i="1"/>
  <c r="AB18" i="1" s="1"/>
  <c r="AE9" i="1"/>
  <c r="AE17" i="1" s="1"/>
  <c r="AD9" i="1"/>
  <c r="AD17" i="1" s="1"/>
  <c r="AC9" i="1"/>
  <c r="AC17" i="1" s="1"/>
  <c r="AB9" i="1"/>
  <c r="AB17" i="1" s="1"/>
  <c r="AE16" i="1"/>
  <c r="AD7" i="1"/>
  <c r="AF7" i="1" s="1"/>
  <c r="AC16" i="1"/>
  <c r="AB7" i="1"/>
  <c r="AB16" i="1" s="1"/>
  <c r="AA16" i="1"/>
  <c r="AI16" i="14" l="1"/>
  <c r="AI19" i="14"/>
  <c r="AI17" i="14"/>
  <c r="AI18" i="14"/>
  <c r="AI16" i="16"/>
  <c r="AI17" i="17"/>
  <c r="AI18" i="16"/>
  <c r="AI17" i="15"/>
  <c r="AI19" i="18"/>
  <c r="AI18" i="15"/>
  <c r="AI19" i="12"/>
  <c r="AI18" i="12"/>
  <c r="AI17" i="12"/>
  <c r="AI16" i="13"/>
  <c r="AI18" i="18"/>
  <c r="AI19" i="15"/>
  <c r="AI16" i="15"/>
  <c r="AI17" i="13"/>
  <c r="AI19" i="13"/>
  <c r="AI18" i="17"/>
  <c r="AI16" i="17"/>
  <c r="AI16" i="18"/>
  <c r="AI17" i="18"/>
  <c r="AI19" i="17"/>
  <c r="AI17" i="16"/>
  <c r="AI19" i="16"/>
  <c r="AI18" i="13"/>
  <c r="AI16" i="12"/>
  <c r="AF11" i="1"/>
  <c r="AF18" i="1" s="1"/>
  <c r="AH11" i="1"/>
  <c r="AH18" i="1" s="1"/>
  <c r="AA18" i="1"/>
  <c r="AD18" i="1"/>
  <c r="AF16" i="1"/>
  <c r="AH9" i="1"/>
  <c r="AH17" i="1" s="1"/>
  <c r="AA17" i="1"/>
  <c r="AD16" i="1"/>
  <c r="AF9" i="1"/>
  <c r="AF17" i="1" s="1"/>
  <c r="AF13" i="1"/>
  <c r="AF19" i="1" s="1"/>
  <c r="AH7" i="1"/>
  <c r="AH16" i="1" s="1"/>
  <c r="AH13" i="1"/>
  <c r="AH19" i="1" s="1"/>
  <c r="AG7" i="1"/>
  <c r="AG16" i="1" s="1"/>
  <c r="AG9" i="1"/>
  <c r="AG17" i="1" s="1"/>
  <c r="AG11" i="1"/>
  <c r="AG18" i="1" s="1"/>
  <c r="AG13" i="1"/>
  <c r="AG19" i="1" s="1"/>
  <c r="AK16" i="16" l="1"/>
  <c r="AK19" i="14"/>
  <c r="AM16" i="14"/>
  <c r="AK18" i="17"/>
  <c r="AL16" i="17"/>
  <c r="AK18" i="18"/>
  <c r="AL16" i="18"/>
  <c r="AK18" i="14"/>
  <c r="AL16" i="14"/>
  <c r="AK18" i="16"/>
  <c r="AL16" i="16"/>
  <c r="AK18" i="15"/>
  <c r="AL16" i="15"/>
  <c r="AM17" i="17"/>
  <c r="AL17" i="17"/>
  <c r="AK17" i="15"/>
  <c r="AL17" i="15"/>
  <c r="AM17" i="15"/>
  <c r="AJ18" i="14"/>
  <c r="AM18" i="14"/>
  <c r="AM19" i="14"/>
  <c r="AL18" i="14"/>
  <c r="AL19" i="14"/>
  <c r="AJ17" i="14"/>
  <c r="AJ16" i="14"/>
  <c r="AM17" i="14"/>
  <c r="AK16" i="14"/>
  <c r="AK17" i="14"/>
  <c r="AJ19" i="14"/>
  <c r="AL17" i="14"/>
  <c r="AM16" i="13"/>
  <c r="AM18" i="18"/>
  <c r="AM19" i="12"/>
  <c r="AL18" i="15"/>
  <c r="AJ18" i="15"/>
  <c r="AL18" i="16"/>
  <c r="AK16" i="13"/>
  <c r="AM17" i="12"/>
  <c r="AM18" i="12"/>
  <c r="AL17" i="12"/>
  <c r="AL18" i="12"/>
  <c r="AL19" i="12"/>
  <c r="AI19" i="1"/>
  <c r="AM19" i="18"/>
  <c r="AK19" i="18"/>
  <c r="AJ17" i="17"/>
  <c r="AM18" i="15"/>
  <c r="AK19" i="15"/>
  <c r="AJ17" i="15"/>
  <c r="AJ16" i="15"/>
  <c r="AK16" i="15"/>
  <c r="AJ19" i="15"/>
  <c r="AM16" i="15"/>
  <c r="AM19" i="15"/>
  <c r="AL19" i="15"/>
  <c r="AJ17" i="13"/>
  <c r="AL19" i="13"/>
  <c r="AK17" i="13"/>
  <c r="AM17" i="13"/>
  <c r="AK19" i="13"/>
  <c r="AJ19" i="13"/>
  <c r="AJ16" i="13"/>
  <c r="AL17" i="18"/>
  <c r="AJ17" i="18"/>
  <c r="AK17" i="18"/>
  <c r="AM17" i="18"/>
  <c r="AJ19" i="18"/>
  <c r="AJ16" i="17"/>
  <c r="AM16" i="17"/>
  <c r="AK16" i="17"/>
  <c r="AJ18" i="18"/>
  <c r="AK17" i="17"/>
  <c r="AM19" i="17"/>
  <c r="AK19" i="17"/>
  <c r="AL19" i="17"/>
  <c r="AJ19" i="17"/>
  <c r="AM16" i="18"/>
  <c r="AK16" i="18"/>
  <c r="AJ16" i="18"/>
  <c r="AL19" i="18"/>
  <c r="AL18" i="17"/>
  <c r="AJ18" i="17"/>
  <c r="AM18" i="17"/>
  <c r="AL18" i="18"/>
  <c r="AL19" i="16"/>
  <c r="AJ19" i="16"/>
  <c r="AK19" i="16"/>
  <c r="AM19" i="16"/>
  <c r="AJ18" i="16"/>
  <c r="AM18" i="16"/>
  <c r="AL17" i="16"/>
  <c r="AJ17" i="16"/>
  <c r="AM17" i="16"/>
  <c r="AK17" i="16"/>
  <c r="AJ16" i="16"/>
  <c r="AM16" i="16"/>
  <c r="AM18" i="13"/>
  <c r="AK18" i="13"/>
  <c r="AL18" i="13"/>
  <c r="AJ18" i="13"/>
  <c r="AL17" i="13"/>
  <c r="AM19" i="13"/>
  <c r="AL16" i="13"/>
  <c r="AM16" i="12"/>
  <c r="AK16" i="12"/>
  <c r="AL16" i="12"/>
  <c r="AJ16" i="12"/>
  <c r="AJ18" i="12"/>
  <c r="AK18" i="12"/>
  <c r="AK17" i="12"/>
  <c r="AJ17" i="12"/>
  <c r="AK19" i="12"/>
  <c r="AJ19" i="12"/>
  <c r="AI18" i="1"/>
  <c r="AI17" i="1"/>
  <c r="AI16" i="1"/>
  <c r="AN16" i="13" l="1"/>
  <c r="AN16" i="16"/>
  <c r="AN17" i="17"/>
  <c r="AN17" i="15"/>
  <c r="AN16" i="14"/>
  <c r="AN18" i="14"/>
  <c r="AN17" i="14"/>
  <c r="AN19" i="14"/>
  <c r="AK19" i="1"/>
  <c r="AN18" i="16"/>
  <c r="AN18" i="15"/>
  <c r="AN16" i="15"/>
  <c r="AN17" i="12"/>
  <c r="AN19" i="12"/>
  <c r="AN18" i="12"/>
  <c r="AN19" i="18"/>
  <c r="AN18" i="18"/>
  <c r="AN17" i="18"/>
  <c r="AN18" i="17"/>
  <c r="AN16" i="17"/>
  <c r="AN17" i="16"/>
  <c r="AN19" i="15"/>
  <c r="AN19" i="13"/>
  <c r="AN17" i="13"/>
  <c r="AN16" i="12"/>
  <c r="AN16" i="18"/>
  <c r="AN19" i="17"/>
  <c r="AN19" i="16"/>
  <c r="AN18" i="13"/>
  <c r="AK18" i="1"/>
  <c r="AL16" i="1"/>
  <c r="AL18" i="1"/>
  <c r="AK17" i="1"/>
  <c r="AL17" i="1"/>
  <c r="AK16" i="1"/>
  <c r="AM18" i="1"/>
  <c r="AM19" i="1"/>
  <c r="AM16" i="1"/>
  <c r="AL19" i="1"/>
  <c r="AM17" i="1"/>
  <c r="AJ18" i="1"/>
  <c r="AJ19" i="1"/>
  <c r="AJ16" i="1"/>
  <c r="AJ17" i="1"/>
  <c r="M8" i="1"/>
  <c r="M10" i="1"/>
  <c r="M12" i="1"/>
  <c r="M14" i="1"/>
  <c r="M16" i="1"/>
  <c r="AO16" i="13" l="1"/>
  <c r="AO17" i="15"/>
  <c r="AQ16" i="13"/>
  <c r="AP17" i="17"/>
  <c r="AP16" i="16"/>
  <c r="AO16" i="16"/>
  <c r="AO17" i="17"/>
  <c r="AP18" i="15"/>
  <c r="AO18" i="14"/>
  <c r="AO18" i="16"/>
  <c r="AQ18" i="15"/>
  <c r="AP17" i="15"/>
  <c r="AP16" i="14"/>
  <c r="AQ18" i="14"/>
  <c r="AQ17" i="14"/>
  <c r="AP17" i="14"/>
  <c r="AP19" i="14"/>
  <c r="AP18" i="14"/>
  <c r="AQ19" i="14"/>
  <c r="AO19" i="14"/>
  <c r="AO17" i="14"/>
  <c r="AO16" i="14"/>
  <c r="AQ16" i="14"/>
  <c r="AO18" i="15"/>
  <c r="AP19" i="12"/>
  <c r="AQ19" i="16"/>
  <c r="AP18" i="17"/>
  <c r="AP16" i="15"/>
  <c r="AO16" i="15"/>
  <c r="AO17" i="13"/>
  <c r="AP17" i="12"/>
  <c r="AQ16" i="12"/>
  <c r="AQ17" i="12"/>
  <c r="AP18" i="12"/>
  <c r="AQ19" i="12"/>
  <c r="AQ18" i="12"/>
  <c r="AQ19" i="15"/>
  <c r="AQ18" i="18"/>
  <c r="AQ17" i="18"/>
  <c r="AQ19" i="18"/>
  <c r="AP17" i="18"/>
  <c r="AP19" i="18"/>
  <c r="AP18" i="18"/>
  <c r="AO16" i="17"/>
  <c r="AO18" i="17"/>
  <c r="AP16" i="17"/>
  <c r="AP17" i="16"/>
  <c r="AO17" i="16"/>
  <c r="AP19" i="16"/>
  <c r="AP18" i="16"/>
  <c r="AQ16" i="15"/>
  <c r="AO19" i="15"/>
  <c r="AQ17" i="15"/>
  <c r="AP19" i="15"/>
  <c r="AO18" i="12"/>
  <c r="AQ17" i="13"/>
  <c r="AP19" i="13"/>
  <c r="AO19" i="13"/>
  <c r="AP18" i="13"/>
  <c r="AO17" i="12"/>
  <c r="AO16" i="12"/>
  <c r="AP16" i="12"/>
  <c r="AO19" i="12"/>
  <c r="AQ18" i="13"/>
  <c r="AQ17" i="17"/>
  <c r="AQ18" i="17"/>
  <c r="AP19" i="17"/>
  <c r="AQ16" i="17"/>
  <c r="AO19" i="17"/>
  <c r="AO18" i="18"/>
  <c r="AQ16" i="18"/>
  <c r="AO16" i="18"/>
  <c r="AO17" i="18"/>
  <c r="AP16" i="18"/>
  <c r="AO19" i="18"/>
  <c r="AQ19" i="17"/>
  <c r="AQ18" i="16"/>
  <c r="AQ17" i="16"/>
  <c r="AO19" i="16"/>
  <c r="AQ16" i="16"/>
  <c r="AP17" i="13"/>
  <c r="AQ19" i="13"/>
  <c r="AP16" i="13"/>
  <c r="AO18" i="13"/>
  <c r="AN19" i="1"/>
  <c r="AN16" i="1"/>
  <c r="AN18" i="1"/>
  <c r="AN17" i="1"/>
  <c r="AR16" i="13" l="1"/>
  <c r="AR17" i="15"/>
  <c r="AR17" i="17"/>
  <c r="AR16" i="16"/>
  <c r="AR18" i="15"/>
  <c r="AR18" i="14"/>
  <c r="AR16" i="14"/>
  <c r="AR19" i="14"/>
  <c r="AR17" i="14"/>
  <c r="AR19" i="12"/>
  <c r="AR16" i="15"/>
  <c r="AR19" i="15"/>
  <c r="AR17" i="18"/>
  <c r="AR17" i="12"/>
  <c r="AR18" i="12"/>
  <c r="AR19" i="18"/>
  <c r="AR18" i="18"/>
  <c r="AR18" i="17"/>
  <c r="AR19" i="17"/>
  <c r="AR16" i="17"/>
  <c r="AR18" i="16"/>
  <c r="AR17" i="16"/>
  <c r="AR19" i="16"/>
  <c r="AR17" i="13"/>
  <c r="AR19" i="13"/>
  <c r="AR18" i="13"/>
  <c r="AR16" i="12"/>
  <c r="AR16" i="18"/>
  <c r="AQ19" i="1"/>
  <c r="AP17" i="1"/>
  <c r="AQ18" i="1"/>
  <c r="AQ17" i="1"/>
  <c r="AP19" i="1"/>
  <c r="AP18" i="1"/>
  <c r="AO18" i="1"/>
  <c r="AO17" i="1"/>
  <c r="AO16" i="1"/>
  <c r="AO19" i="1"/>
  <c r="AP16" i="1"/>
  <c r="AQ16" i="1"/>
  <c r="AS16" i="14" l="1"/>
  <c r="AS16" i="15"/>
  <c r="AS18" i="15"/>
  <c r="AS18" i="14"/>
  <c r="AS17" i="15"/>
  <c r="AS17" i="14"/>
  <c r="AS19" i="14"/>
  <c r="AS19" i="15"/>
  <c r="AS17" i="12"/>
  <c r="AS18" i="17"/>
  <c r="AS17" i="17"/>
  <c r="AS18" i="13"/>
  <c r="AS16" i="13"/>
  <c r="AS19" i="12"/>
  <c r="AS16" i="18"/>
  <c r="AS17" i="18"/>
  <c r="AS19" i="17"/>
  <c r="AS16" i="17"/>
  <c r="AS16" i="16"/>
  <c r="AS18" i="16"/>
  <c r="AS19" i="16"/>
  <c r="AS17" i="16"/>
  <c r="AS19" i="13"/>
  <c r="AS17" i="13"/>
  <c r="AS16" i="12"/>
  <c r="AS18" i="12"/>
  <c r="AS19" i="18"/>
  <c r="AS18" i="18"/>
  <c r="AR18" i="1"/>
  <c r="AR19" i="1"/>
  <c r="AR17" i="1"/>
  <c r="AR16" i="1"/>
  <c r="AG22" i="15" l="1"/>
  <c r="U9" i="15" s="1"/>
  <c r="AG22" i="14"/>
  <c r="AB24" i="15"/>
  <c r="P13" i="15" s="1"/>
  <c r="AA22" i="15"/>
  <c r="O9" i="15" s="1"/>
  <c r="Z22" i="15"/>
  <c r="N9" i="15" s="1"/>
  <c r="S17" i="15" s="1"/>
  <c r="AA26" i="9" s="1"/>
  <c r="F56" i="20" s="1"/>
  <c r="Z21" i="15"/>
  <c r="N7" i="15" s="1"/>
  <c r="S16" i="15" s="1"/>
  <c r="C21" i="9" s="1"/>
  <c r="D52" i="20" s="1"/>
  <c r="AE23" i="15"/>
  <c r="S11" i="15" s="1"/>
  <c r="AD21" i="15"/>
  <c r="R7" i="15" s="1"/>
  <c r="AB21" i="15"/>
  <c r="P7" i="15" s="1"/>
  <c r="AG21" i="15"/>
  <c r="U7" i="15" s="1"/>
  <c r="AF21" i="15"/>
  <c r="T7" i="15" s="1"/>
  <c r="AF23" i="15"/>
  <c r="T11" i="15" s="1"/>
  <c r="AC23" i="15"/>
  <c r="Q11" i="15" s="1"/>
  <c r="AC21" i="15"/>
  <c r="Q7" i="15" s="1"/>
  <c r="Z21" i="14"/>
  <c r="N7" i="14" s="1"/>
  <c r="S16" i="14" s="1"/>
  <c r="AC21" i="14"/>
  <c r="Q7" i="14" s="1"/>
  <c r="AH21" i="14"/>
  <c r="V7" i="14" s="1"/>
  <c r="AG21" i="14"/>
  <c r="U7" i="14" s="1"/>
  <c r="AF21" i="14"/>
  <c r="T7" i="14" s="1"/>
  <c r="AB21" i="14"/>
  <c r="P7" i="14" s="1"/>
  <c r="AD21" i="14"/>
  <c r="R7" i="14" s="1"/>
  <c r="AE21" i="14"/>
  <c r="S7" i="14" s="1"/>
  <c r="AA21" i="14"/>
  <c r="O7" i="14" s="1"/>
  <c r="AE21" i="15"/>
  <c r="S7" i="15" s="1"/>
  <c r="AC22" i="14"/>
  <c r="Q9" i="14" s="1"/>
  <c r="Z22" i="14"/>
  <c r="N9" i="14" s="1"/>
  <c r="S17" i="14" s="1"/>
  <c r="AB22" i="14"/>
  <c r="P9" i="14" s="1"/>
  <c r="AA21" i="15"/>
  <c r="O7" i="15" s="1"/>
  <c r="AE24" i="15"/>
  <c r="S13" i="15" s="1"/>
  <c r="AD22" i="14"/>
  <c r="R9" i="14" s="1"/>
  <c r="AF22" i="14"/>
  <c r="T9" i="14" s="1"/>
  <c r="AE22" i="14"/>
  <c r="S9" i="14" s="1"/>
  <c r="AH22" i="14"/>
  <c r="V9" i="14" s="1"/>
  <c r="AH21" i="15"/>
  <c r="V7" i="15" s="1"/>
  <c r="AA23" i="14"/>
  <c r="O11" i="14" s="1"/>
  <c r="AA22" i="14"/>
  <c r="O9" i="14" s="1"/>
  <c r="AF24" i="14"/>
  <c r="T13" i="14" s="1"/>
  <c r="AG24" i="14"/>
  <c r="U13" i="14" s="1"/>
  <c r="AD24" i="15"/>
  <c r="R13" i="15" s="1"/>
  <c r="AB24" i="14"/>
  <c r="P13" i="14" s="1"/>
  <c r="AD24" i="14"/>
  <c r="R13" i="14" s="1"/>
  <c r="AA24" i="14"/>
  <c r="O13" i="14" s="1"/>
  <c r="AH24" i="14"/>
  <c r="V13" i="14" s="1"/>
  <c r="AE24" i="14"/>
  <c r="S13" i="14" s="1"/>
  <c r="AB23" i="15"/>
  <c r="P11" i="15" s="1"/>
  <c r="AA23" i="15"/>
  <c r="O11" i="15" s="1"/>
  <c r="AH23" i="15"/>
  <c r="V11" i="15" s="1"/>
  <c r="Z23" i="15"/>
  <c r="N11" i="15" s="1"/>
  <c r="AG23" i="15"/>
  <c r="U11" i="15" s="1"/>
  <c r="AD23" i="15"/>
  <c r="R11" i="15" s="1"/>
  <c r="Z24" i="14"/>
  <c r="N13" i="14" s="1"/>
  <c r="AC24" i="14"/>
  <c r="Q13" i="14" s="1"/>
  <c r="AC23" i="14"/>
  <c r="Q11" i="14" s="1"/>
  <c r="AB23" i="14"/>
  <c r="P11" i="14" s="1"/>
  <c r="AH23" i="14"/>
  <c r="V11" i="14" s="1"/>
  <c r="Z23" i="14"/>
  <c r="N11" i="14" s="1"/>
  <c r="AD23" i="14"/>
  <c r="R11" i="14" s="1"/>
  <c r="AE23" i="14"/>
  <c r="S11" i="14" s="1"/>
  <c r="AG23" i="14"/>
  <c r="U11" i="14" s="1"/>
  <c r="AF23" i="14"/>
  <c r="T11" i="14" s="1"/>
  <c r="AC24" i="15"/>
  <c r="Q13" i="15" s="1"/>
  <c r="AH24" i="15"/>
  <c r="V13" i="15" s="1"/>
  <c r="Z24" i="15"/>
  <c r="N13" i="15" s="1"/>
  <c r="AG24" i="15"/>
  <c r="U13" i="15" s="1"/>
  <c r="Z22" i="17"/>
  <c r="N9" i="17" s="1"/>
  <c r="S17" i="17" s="1"/>
  <c r="AA34" i="9" s="1"/>
  <c r="F57" i="20" s="1"/>
  <c r="Z23" i="17"/>
  <c r="N11" i="17" s="1"/>
  <c r="Z21" i="17"/>
  <c r="N7" i="17" s="1"/>
  <c r="S16" i="17" s="1"/>
  <c r="Z21" i="16"/>
  <c r="N7" i="16" s="1"/>
  <c r="S16" i="16" s="1"/>
  <c r="AA21" i="9" s="1"/>
  <c r="D56" i="20" s="1"/>
  <c r="Z23" i="16"/>
  <c r="N11" i="16" s="1"/>
  <c r="Z22" i="16"/>
  <c r="N9" i="16" s="1"/>
  <c r="S17" i="16" s="1"/>
  <c r="Z21" i="18"/>
  <c r="N7" i="18" s="1"/>
  <c r="S16" i="18" s="1"/>
  <c r="Z22" i="18"/>
  <c r="N9" i="18" s="1"/>
  <c r="S17" i="18" s="1"/>
  <c r="Z23" i="18"/>
  <c r="N11" i="18" s="1"/>
  <c r="Z23" i="13"/>
  <c r="N11" i="13" s="1"/>
  <c r="Z21" i="13"/>
  <c r="Z13" i="13" s="1"/>
  <c r="C26" i="13" s="1"/>
  <c r="Z22" i="13"/>
  <c r="N9" i="13" s="1"/>
  <c r="S17" i="13" s="1"/>
  <c r="Z22" i="12"/>
  <c r="N9" i="12" s="1"/>
  <c r="S17" i="12" s="1"/>
  <c r="Z21" i="12"/>
  <c r="N7" i="12" s="1"/>
  <c r="S16" i="12" s="1"/>
  <c r="Z23" i="12"/>
  <c r="N11" i="12" s="1"/>
  <c r="AA22" i="17"/>
  <c r="O9" i="17" s="1"/>
  <c r="AE21" i="17"/>
  <c r="S7" i="17" s="1"/>
  <c r="AH21" i="17"/>
  <c r="V7" i="17" s="1"/>
  <c r="AE22" i="17"/>
  <c r="S9" i="17" s="1"/>
  <c r="AH22" i="16"/>
  <c r="V9" i="16" s="1"/>
  <c r="AF23" i="16"/>
  <c r="T11" i="16" s="1"/>
  <c r="AA24" i="15"/>
  <c r="O13" i="15" s="1"/>
  <c r="AF24" i="15"/>
  <c r="T13" i="15" s="1"/>
  <c r="AH22" i="15"/>
  <c r="V9" i="15" s="1"/>
  <c r="AF22" i="15"/>
  <c r="T9" i="15" s="1"/>
  <c r="AD22" i="15"/>
  <c r="R9" i="15" s="1"/>
  <c r="AB22" i="15"/>
  <c r="P9" i="15" s="1"/>
  <c r="AE22" i="15"/>
  <c r="S9" i="15" s="1"/>
  <c r="AC22" i="15"/>
  <c r="Q9" i="15" s="1"/>
  <c r="AB22" i="17"/>
  <c r="P9" i="17" s="1"/>
  <c r="AF22" i="17"/>
  <c r="T9" i="17" s="1"/>
  <c r="AF22" i="16"/>
  <c r="T9" i="16" s="1"/>
  <c r="AG23" i="17"/>
  <c r="U11" i="17" s="1"/>
  <c r="AB21" i="17"/>
  <c r="P7" i="17" s="1"/>
  <c r="AB24" i="17"/>
  <c r="P13" i="17" s="1"/>
  <c r="AD21" i="17"/>
  <c r="R7" i="17" s="1"/>
  <c r="AD22" i="17"/>
  <c r="R9" i="17" s="1"/>
  <c r="AC21" i="17"/>
  <c r="Q7" i="17" s="1"/>
  <c r="AA23" i="17"/>
  <c r="O11" i="17" s="1"/>
  <c r="AF21" i="17"/>
  <c r="T7" i="17" s="1"/>
  <c r="AC24" i="17"/>
  <c r="Q13" i="17" s="1"/>
  <c r="AA21" i="17"/>
  <c r="O7" i="17" s="1"/>
  <c r="AH22" i="17"/>
  <c r="V9" i="17" s="1"/>
  <c r="AG21" i="17"/>
  <c r="U7" i="17" s="1"/>
  <c r="AF21" i="16"/>
  <c r="T7" i="16" s="1"/>
  <c r="AE22" i="16"/>
  <c r="S9" i="16" s="1"/>
  <c r="AC22" i="16"/>
  <c r="Q9" i="16" s="1"/>
  <c r="AE21" i="16"/>
  <c r="S7" i="16" s="1"/>
  <c r="AC24" i="16"/>
  <c r="Q13" i="16" s="1"/>
  <c r="AF22" i="13"/>
  <c r="T9" i="13" s="1"/>
  <c r="AC22" i="13"/>
  <c r="Q9" i="13" s="1"/>
  <c r="AG24" i="13"/>
  <c r="U13" i="13" s="1"/>
  <c r="AB22" i="13"/>
  <c r="P9" i="13" s="1"/>
  <c r="AF21" i="13"/>
  <c r="T7" i="13" s="1"/>
  <c r="AC21" i="13"/>
  <c r="Q7" i="13" s="1"/>
  <c r="AD21" i="13"/>
  <c r="R7" i="13" s="1"/>
  <c r="AD23" i="13"/>
  <c r="R11" i="13" s="1"/>
  <c r="AH22" i="12"/>
  <c r="V9" i="12" s="1"/>
  <c r="AG21" i="12"/>
  <c r="U7" i="12" s="1"/>
  <c r="AG22" i="12"/>
  <c r="U9" i="12" s="1"/>
  <c r="AC24" i="12"/>
  <c r="Q13" i="12" s="1"/>
  <c r="AH21" i="12"/>
  <c r="V7" i="12" s="1"/>
  <c r="AB21" i="12"/>
  <c r="P7" i="12" s="1"/>
  <c r="AA22" i="12"/>
  <c r="O9" i="12" s="1"/>
  <c r="AG24" i="12"/>
  <c r="U13" i="12" s="1"/>
  <c r="AC22" i="12"/>
  <c r="Q9" i="12" s="1"/>
  <c r="AC21" i="12"/>
  <c r="Q7" i="12" s="1"/>
  <c r="AD21" i="12"/>
  <c r="R7" i="12" s="1"/>
  <c r="AD23" i="12"/>
  <c r="R11" i="12" s="1"/>
  <c r="AF21" i="12"/>
  <c r="T7" i="12" s="1"/>
  <c r="AE22" i="12"/>
  <c r="S9" i="12" s="1"/>
  <c r="AH23" i="12"/>
  <c r="V11" i="12" s="1"/>
  <c r="AE24" i="12"/>
  <c r="S13" i="12" s="1"/>
  <c r="AG21" i="13"/>
  <c r="U7" i="13" s="1"/>
  <c r="AB23" i="12"/>
  <c r="P11" i="12" s="1"/>
  <c r="AF23" i="12"/>
  <c r="T11" i="12" s="1"/>
  <c r="AA24" i="12"/>
  <c r="O13" i="12" s="1"/>
  <c r="AB21" i="13"/>
  <c r="P7" i="13" s="1"/>
  <c r="AE22" i="13"/>
  <c r="S9" i="13" s="1"/>
  <c r="AH21" i="13"/>
  <c r="V7" i="13" s="1"/>
  <c r="AB23" i="13"/>
  <c r="P11" i="13" s="1"/>
  <c r="AA21" i="13"/>
  <c r="O7" i="13" s="1"/>
  <c r="AH21" i="16"/>
  <c r="V7" i="16" s="1"/>
  <c r="AG22" i="16"/>
  <c r="U9" i="16" s="1"/>
  <c r="AE24" i="16"/>
  <c r="S13" i="16" s="1"/>
  <c r="AA22" i="16"/>
  <c r="O9" i="16" s="1"/>
  <c r="AD23" i="16"/>
  <c r="R11" i="16" s="1"/>
  <c r="AA21" i="16"/>
  <c r="O7" i="16" s="1"/>
  <c r="AB22" i="16"/>
  <c r="P9" i="16" s="1"/>
  <c r="AC23" i="16"/>
  <c r="Q11" i="16" s="1"/>
  <c r="AH24" i="17"/>
  <c r="V13" i="17" s="1"/>
  <c r="AH24" i="12"/>
  <c r="V13" i="12" s="1"/>
  <c r="AE21" i="13"/>
  <c r="S7" i="13" s="1"/>
  <c r="AH24" i="13"/>
  <c r="V13" i="13" s="1"/>
  <c r="AA21" i="12"/>
  <c r="O7" i="12" s="1"/>
  <c r="AE21" i="12"/>
  <c r="S7" i="12" s="1"/>
  <c r="AD22" i="12"/>
  <c r="R9" i="12" s="1"/>
  <c r="AF22" i="18"/>
  <c r="T9" i="18" s="1"/>
  <c r="AB22" i="18"/>
  <c r="P9" i="18" s="1"/>
  <c r="AA22" i="18"/>
  <c r="O9" i="18" s="1"/>
  <c r="AE22" i="18"/>
  <c r="S9" i="18" s="1"/>
  <c r="AG22" i="18"/>
  <c r="U9" i="18" s="1"/>
  <c r="AH24" i="18"/>
  <c r="V13" i="18" s="1"/>
  <c r="AC22" i="18"/>
  <c r="Q9" i="18" s="1"/>
  <c r="AH22" i="18"/>
  <c r="V9" i="18" s="1"/>
  <c r="AB21" i="18"/>
  <c r="P7" i="18" s="1"/>
  <c r="AD21" i="18"/>
  <c r="R7" i="18" s="1"/>
  <c r="AA21" i="18"/>
  <c r="O7" i="18" s="1"/>
  <c r="AE21" i="18"/>
  <c r="S7" i="18" s="1"/>
  <c r="AD22" i="18"/>
  <c r="R9" i="18" s="1"/>
  <c r="AF21" i="18"/>
  <c r="T7" i="18" s="1"/>
  <c r="AH21" i="18"/>
  <c r="V7" i="18" s="1"/>
  <c r="AC21" i="18"/>
  <c r="Q7" i="18" s="1"/>
  <c r="AG21" i="18"/>
  <c r="U7" i="18" s="1"/>
  <c r="AC22" i="17"/>
  <c r="Q9" i="17" s="1"/>
  <c r="AG22" i="17"/>
  <c r="U9" i="17" s="1"/>
  <c r="AD23" i="17"/>
  <c r="R11" i="17" s="1"/>
  <c r="AC23" i="17"/>
  <c r="Q11" i="17" s="1"/>
  <c r="AE23" i="17"/>
  <c r="S11" i="17" s="1"/>
  <c r="AH23" i="17"/>
  <c r="V11" i="17" s="1"/>
  <c r="Z24" i="17"/>
  <c r="N13" i="17" s="1"/>
  <c r="AF24" i="17"/>
  <c r="T13" i="17" s="1"/>
  <c r="AD24" i="17"/>
  <c r="R13" i="17" s="1"/>
  <c r="AG24" i="17"/>
  <c r="U13" i="17" s="1"/>
  <c r="AB23" i="17"/>
  <c r="P11" i="17" s="1"/>
  <c r="AF23" i="17"/>
  <c r="T11" i="17" s="1"/>
  <c r="AA24" i="17"/>
  <c r="O13" i="17" s="1"/>
  <c r="AE24" i="17"/>
  <c r="S13" i="17" s="1"/>
  <c r="AD22" i="16"/>
  <c r="R9" i="16" s="1"/>
  <c r="AF24" i="16"/>
  <c r="T13" i="16" s="1"/>
  <c r="AG23" i="16"/>
  <c r="U11" i="16" s="1"/>
  <c r="AD21" i="16"/>
  <c r="R7" i="16" s="1"/>
  <c r="AB23" i="16"/>
  <c r="P11" i="16" s="1"/>
  <c r="AA24" i="16"/>
  <c r="O13" i="16" s="1"/>
  <c r="AB21" i="16"/>
  <c r="P7" i="16" s="1"/>
  <c r="AH23" i="16"/>
  <c r="V11" i="16" s="1"/>
  <c r="AG24" i="16"/>
  <c r="U13" i="16" s="1"/>
  <c r="AC21" i="16"/>
  <c r="Q7" i="16" s="1"/>
  <c r="AG21" i="16"/>
  <c r="U7" i="16" s="1"/>
  <c r="AA23" i="16"/>
  <c r="O11" i="16" s="1"/>
  <c r="AE23" i="16"/>
  <c r="S11" i="16" s="1"/>
  <c r="AB24" i="16"/>
  <c r="P13" i="16" s="1"/>
  <c r="Z24" i="16"/>
  <c r="N13" i="16" s="1"/>
  <c r="AH24" i="16"/>
  <c r="V13" i="16" s="1"/>
  <c r="AD24" i="16"/>
  <c r="R13" i="16" s="1"/>
  <c r="U9" i="14"/>
  <c r="AA23" i="13"/>
  <c r="O11" i="13" s="1"/>
  <c r="AE23" i="13"/>
  <c r="S11" i="13" s="1"/>
  <c r="AB22" i="12"/>
  <c r="P9" i="12" s="1"/>
  <c r="AF22" i="12"/>
  <c r="T9" i="12" s="1"/>
  <c r="AA23" i="12"/>
  <c r="O11" i="12" s="1"/>
  <c r="AC23" i="12"/>
  <c r="Q11" i="12" s="1"/>
  <c r="AD24" i="13"/>
  <c r="R13" i="13" s="1"/>
  <c r="AC24" i="13"/>
  <c r="Q13" i="13" s="1"/>
  <c r="AA24" i="13"/>
  <c r="O13" i="13" s="1"/>
  <c r="Z24" i="13"/>
  <c r="N13" i="13" s="1"/>
  <c r="AF24" i="13"/>
  <c r="T13" i="13" s="1"/>
  <c r="AA22" i="13"/>
  <c r="O9" i="13" s="1"/>
  <c r="AH23" i="13"/>
  <c r="V11" i="13" s="1"/>
  <c r="AG22" i="13"/>
  <c r="U9" i="13" s="1"/>
  <c r="AF23" i="13"/>
  <c r="T11" i="13" s="1"/>
  <c r="AE24" i="13"/>
  <c r="S13" i="13" s="1"/>
  <c r="AD22" i="13"/>
  <c r="R9" i="13" s="1"/>
  <c r="AH22" i="13"/>
  <c r="V9" i="13" s="1"/>
  <c r="AC23" i="13"/>
  <c r="Q11" i="13" s="1"/>
  <c r="AG23" i="13"/>
  <c r="U11" i="13" s="1"/>
  <c r="AB24" i="13"/>
  <c r="P13" i="13" s="1"/>
  <c r="AE23" i="12"/>
  <c r="S11" i="12" s="1"/>
  <c r="AG23" i="12"/>
  <c r="U11" i="12" s="1"/>
  <c r="Z24" i="12"/>
  <c r="N13" i="12" s="1"/>
  <c r="AB24" i="12"/>
  <c r="P13" i="12" s="1"/>
  <c r="AF24" i="12"/>
  <c r="T13" i="12" s="1"/>
  <c r="AD24" i="12"/>
  <c r="R13" i="12" s="1"/>
  <c r="AD23" i="18"/>
  <c r="R11" i="18" s="1"/>
  <c r="AG24" i="18"/>
  <c r="U13" i="18" s="1"/>
  <c r="AB23" i="18"/>
  <c r="P11" i="18" s="1"/>
  <c r="AA24" i="18"/>
  <c r="O13" i="18" s="1"/>
  <c r="AC23" i="18"/>
  <c r="Q11" i="18" s="1"/>
  <c r="AG23" i="18"/>
  <c r="U11" i="18" s="1"/>
  <c r="AB24" i="18"/>
  <c r="P13" i="18" s="1"/>
  <c r="AF24" i="18"/>
  <c r="T13" i="18" s="1"/>
  <c r="AC24" i="18"/>
  <c r="Q13" i="18" s="1"/>
  <c r="AH23" i="18"/>
  <c r="V11" i="18" s="1"/>
  <c r="AF23" i="18"/>
  <c r="T11" i="18" s="1"/>
  <c r="AE24" i="18"/>
  <c r="S13" i="18" s="1"/>
  <c r="AA23" i="18"/>
  <c r="O11" i="18" s="1"/>
  <c r="AE23" i="18"/>
  <c r="S11" i="18" s="1"/>
  <c r="Z24" i="18"/>
  <c r="N13" i="18" s="1"/>
  <c r="AD24" i="18"/>
  <c r="R13" i="18" s="1"/>
  <c r="AS16" i="1"/>
  <c r="AS18" i="1"/>
  <c r="AS17" i="1"/>
  <c r="AS19" i="1"/>
  <c r="Z21" i="1" l="1"/>
  <c r="Z22" i="1"/>
  <c r="N9" i="1" s="1"/>
  <c r="S17" i="1" s="1"/>
  <c r="Z23" i="1"/>
  <c r="N11" i="1" s="1"/>
  <c r="N7" i="13"/>
  <c r="S16" i="13" s="1"/>
  <c r="V17" i="13" s="1"/>
  <c r="V16" i="15"/>
  <c r="V17" i="15"/>
  <c r="V17" i="18"/>
  <c r="V16" i="17"/>
  <c r="C29" i="9"/>
  <c r="D53" i="20" s="1"/>
  <c r="V17" i="16"/>
  <c r="V17" i="17"/>
  <c r="V16" i="14"/>
  <c r="V16" i="18"/>
  <c r="V16" i="16"/>
  <c r="V17" i="14"/>
  <c r="V17" i="12"/>
  <c r="AA5" i="9"/>
  <c r="D54" i="20" s="1"/>
  <c r="V16" i="12"/>
  <c r="C26" i="9"/>
  <c r="F52" i="20" s="1"/>
  <c r="AA29" i="9"/>
  <c r="D57" i="20" s="1"/>
  <c r="C18" i="9"/>
  <c r="F51" i="20" s="1"/>
  <c r="AA18" i="9"/>
  <c r="F55" i="20" s="1"/>
  <c r="C10" i="9"/>
  <c r="F50" i="20" s="1"/>
  <c r="C34" i="9"/>
  <c r="F53" i="20" s="1"/>
  <c r="AA13" i="9"/>
  <c r="D55" i="20" s="1"/>
  <c r="AH21" i="1"/>
  <c r="V7" i="1" s="1"/>
  <c r="AG21" i="1"/>
  <c r="U7" i="1" s="1"/>
  <c r="AF23" i="1"/>
  <c r="T11" i="1" s="1"/>
  <c r="AE21" i="1"/>
  <c r="S7" i="1" s="1"/>
  <c r="AD21" i="1"/>
  <c r="R7" i="1" s="1"/>
  <c r="AC21" i="1"/>
  <c r="Q7" i="1" s="1"/>
  <c r="AB21" i="1"/>
  <c r="P7" i="1" s="1"/>
  <c r="AG22" i="1"/>
  <c r="U9" i="1" s="1"/>
  <c r="AE22" i="1"/>
  <c r="S9" i="1" s="1"/>
  <c r="AC22" i="1"/>
  <c r="Q9" i="1" s="1"/>
  <c r="AA22" i="1"/>
  <c r="O9" i="1" s="1"/>
  <c r="AH23" i="1"/>
  <c r="V11" i="1" s="1"/>
  <c r="AG23" i="1"/>
  <c r="U11" i="1" s="1"/>
  <c r="AF22" i="1"/>
  <c r="T9" i="1" s="1"/>
  <c r="AE23" i="1"/>
  <c r="S11" i="1" s="1"/>
  <c r="AD23" i="1"/>
  <c r="R11" i="1" s="1"/>
  <c r="AC23" i="1"/>
  <c r="Q11" i="1" s="1"/>
  <c r="AB23" i="1"/>
  <c r="P11" i="1" s="1"/>
  <c r="AA23" i="1"/>
  <c r="O11" i="1" s="1"/>
  <c r="AH24" i="1"/>
  <c r="V13" i="1" s="1"/>
  <c r="AG24" i="1"/>
  <c r="U13" i="1" s="1"/>
  <c r="AF24" i="1"/>
  <c r="T13" i="1" s="1"/>
  <c r="AE24" i="1"/>
  <c r="S13" i="1" s="1"/>
  <c r="AD24" i="1"/>
  <c r="R13" i="1" s="1"/>
  <c r="AC24" i="1"/>
  <c r="Q13" i="1" s="1"/>
  <c r="AB24" i="1"/>
  <c r="P13" i="1" s="1"/>
  <c r="AA24" i="1"/>
  <c r="O13" i="1" s="1"/>
  <c r="Z24" i="1"/>
  <c r="N13" i="1" s="1"/>
  <c r="AA21" i="1"/>
  <c r="O7" i="1" s="1"/>
  <c r="AH22" i="1"/>
  <c r="V9" i="1" s="1"/>
  <c r="AF21" i="1"/>
  <c r="T7" i="1" s="1"/>
  <c r="AD22" i="1"/>
  <c r="R9" i="1" s="1"/>
  <c r="AB22" i="1"/>
  <c r="P9" i="1" s="1"/>
  <c r="L21" i="18" l="1"/>
  <c r="B11" i="10" s="1"/>
  <c r="L21" i="15"/>
  <c r="B8" i="10" s="1"/>
  <c r="L21" i="14"/>
  <c r="B7" i="10" s="1"/>
  <c r="N7" i="1"/>
  <c r="S16" i="1" s="1"/>
  <c r="V16" i="13"/>
  <c r="L21" i="13" s="1"/>
  <c r="B6" i="10" s="1"/>
  <c r="C13" i="9"/>
  <c r="D51" i="20" s="1"/>
  <c r="L21" i="17"/>
  <c r="B10" i="10" s="1"/>
  <c r="L21" i="16"/>
  <c r="B9" i="10" s="1"/>
  <c r="L21" i="12"/>
  <c r="B5" i="10" s="1"/>
  <c r="AA10" i="9"/>
  <c r="F54" i="20" s="1"/>
  <c r="V17" i="1" l="1"/>
  <c r="V16" i="1"/>
  <c r="C5" i="9"/>
  <c r="D50" i="20" s="1"/>
  <c r="I12" i="9"/>
  <c r="J11" i="9" s="1"/>
  <c r="F8" i="9" l="1"/>
  <c r="G7" i="9" s="1"/>
  <c r="F4" i="10" s="1"/>
  <c r="L33" i="9"/>
  <c r="O7" i="9" l="1"/>
  <c r="E4" i="10" s="1"/>
  <c r="E12" i="10" s="1"/>
  <c r="F12" i="10"/>
  <c r="L6" i="1" l="1"/>
  <c r="D4" i="10" s="1"/>
  <c r="D12" i="10" s="1"/>
  <c r="E17" i="10" s="1"/>
  <c r="K6" i="1" l="1"/>
  <c r="C4" i="10" l="1"/>
  <c r="C12" i="10" s="1"/>
  <c r="C17" i="10" s="1"/>
  <c r="M6" i="1"/>
  <c r="L21" i="1" s="1"/>
  <c r="B4" i="10" s="1"/>
  <c r="B12" i="10" s="1"/>
  <c r="A17" i="10" s="1"/>
</calcChain>
</file>

<file path=xl/comments1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2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3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4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5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6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7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comments8.xml><?xml version="1.0" encoding="utf-8"?>
<comments xmlns="http://schemas.openxmlformats.org/spreadsheetml/2006/main">
  <authors>
    <author>Carlos Rodas</author>
  </authors>
  <commentList>
    <comment ref="O16" authorId="0" shapeId="0">
      <text>
        <r>
          <rPr>
            <sz val="9"/>
            <color indexed="81"/>
            <rFont val="Tahoma"/>
            <family val="2"/>
          </rPr>
          <t>Escribir el nombre del equipo que considere pasará en primer lugar del grupo tal y como aparece en la tabla de posiciones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Escribir el nombre del equipo que considere pasará en segundo lugar del grupo tal y como aparece en la tabla de posiciones</t>
        </r>
      </text>
    </comment>
  </commentList>
</comments>
</file>

<file path=xl/sharedStrings.xml><?xml version="1.0" encoding="utf-8"?>
<sst xmlns="http://schemas.openxmlformats.org/spreadsheetml/2006/main" count="1089" uniqueCount="248">
  <si>
    <t>Dia</t>
  </si>
  <si>
    <t>Hora</t>
  </si>
  <si>
    <t>Estado</t>
  </si>
  <si>
    <t>Partidos</t>
  </si>
  <si>
    <t>Brasil</t>
  </si>
  <si>
    <t>Croacia</t>
  </si>
  <si>
    <t>GRUPO A</t>
  </si>
  <si>
    <t>Predicción</t>
  </si>
  <si>
    <t>Real</t>
  </si>
  <si>
    <t>Por Partido</t>
  </si>
  <si>
    <t>Por Marcador</t>
  </si>
  <si>
    <t>Total</t>
  </si>
  <si>
    <t>Equipo</t>
  </si>
  <si>
    <t>G</t>
  </si>
  <si>
    <t>E</t>
  </si>
  <si>
    <t>P</t>
  </si>
  <si>
    <t>GF</t>
  </si>
  <si>
    <t>GC</t>
  </si>
  <si>
    <t>DG</t>
  </si>
  <si>
    <t>Pts.</t>
  </si>
  <si>
    <t>PJ</t>
  </si>
  <si>
    <t>Tabla de Posiciones</t>
  </si>
  <si>
    <t>Clasificados Predicción</t>
  </si>
  <si>
    <t>Clasificados Real</t>
  </si>
  <si>
    <t>Puntaje Polla</t>
  </si>
  <si>
    <t>PP</t>
  </si>
  <si>
    <t>Posición</t>
  </si>
  <si>
    <t>PUNTAJE GRUPO A</t>
  </si>
  <si>
    <t>Fixture</t>
  </si>
  <si>
    <t>Octavos de Final</t>
  </si>
  <si>
    <t>Cuartos de Final</t>
  </si>
  <si>
    <t>Semifinal</t>
  </si>
  <si>
    <t>Final</t>
  </si>
  <si>
    <t>Campeon</t>
  </si>
  <si>
    <t>2B</t>
  </si>
  <si>
    <t>1C</t>
  </si>
  <si>
    <t>2D</t>
  </si>
  <si>
    <t>1E</t>
  </si>
  <si>
    <t>2F</t>
  </si>
  <si>
    <t>1G</t>
  </si>
  <si>
    <t>2H</t>
  </si>
  <si>
    <t>Campeón del Mundo</t>
  </si>
  <si>
    <t>1B</t>
  </si>
  <si>
    <t>1D</t>
  </si>
  <si>
    <t>2C</t>
  </si>
  <si>
    <t>1F</t>
  </si>
  <si>
    <t>2E</t>
  </si>
  <si>
    <t>1H</t>
  </si>
  <si>
    <t>Tercer Puesto</t>
  </si>
  <si>
    <t>2G</t>
  </si>
  <si>
    <t>R</t>
  </si>
  <si>
    <t>1A</t>
  </si>
  <si>
    <t>2A</t>
  </si>
  <si>
    <t>Jerarquia</t>
  </si>
  <si>
    <t>Jerarquia2</t>
  </si>
  <si>
    <t>Auxi2</t>
  </si>
  <si>
    <t>Auxi1</t>
  </si>
  <si>
    <t>Sorteo</t>
  </si>
  <si>
    <t>Emp21</t>
  </si>
  <si>
    <t>Emp11</t>
  </si>
  <si>
    <t>Emp12</t>
  </si>
  <si>
    <t>Emp13</t>
  </si>
  <si>
    <t>Emp22</t>
  </si>
  <si>
    <t>Emp23</t>
  </si>
  <si>
    <t>Auxi3</t>
  </si>
  <si>
    <t>Tabla de puntajes</t>
  </si>
  <si>
    <t>Partido</t>
  </si>
  <si>
    <t>Marcador</t>
  </si>
  <si>
    <t>Clasificado</t>
  </si>
  <si>
    <t>Grupo A</t>
  </si>
  <si>
    <t>Aciertos Resultado</t>
  </si>
  <si>
    <t>Aciertos Marcador</t>
  </si>
  <si>
    <t>Grupo B</t>
  </si>
  <si>
    <t>Grupo C</t>
  </si>
  <si>
    <t>Grupo D</t>
  </si>
  <si>
    <t>Grupo E</t>
  </si>
  <si>
    <t>Grupo F</t>
  </si>
  <si>
    <t>Grupo G</t>
  </si>
  <si>
    <t>Grupo H</t>
  </si>
  <si>
    <t>TOTAL</t>
  </si>
  <si>
    <t>GRUPO B</t>
  </si>
  <si>
    <t>GRUPO C</t>
  </si>
  <si>
    <t>GRUPO D</t>
  </si>
  <si>
    <t>GRUPO E</t>
  </si>
  <si>
    <t>GRUPO F</t>
  </si>
  <si>
    <t>PUNTAJE GRUPO F</t>
  </si>
  <si>
    <t>GRUPO G</t>
  </si>
  <si>
    <t>PUNTAJE GRUPO G</t>
  </si>
  <si>
    <t>PUNTAJE GRUPO E</t>
  </si>
  <si>
    <t>PUNTAJE GRUPO D</t>
  </si>
  <si>
    <t>PUNTAJE GRUPO C</t>
  </si>
  <si>
    <t xml:space="preserve">PUNTAJE GRUPO B </t>
  </si>
  <si>
    <t>GRUPO H</t>
  </si>
  <si>
    <t>PUNTAJE GRUPO H</t>
  </si>
  <si>
    <t>Pen</t>
  </si>
  <si>
    <t>PTS</t>
  </si>
  <si>
    <t>Predice</t>
  </si>
  <si>
    <t>PUNTOS TOTALES</t>
  </si>
  <si>
    <t>Puntos Grupos</t>
  </si>
  <si>
    <t>Puntos Cuadro Final</t>
  </si>
  <si>
    <t>Aciertos Cuadro Final</t>
  </si>
  <si>
    <t>TABLA PUNTUACIÓN POLLA</t>
  </si>
  <si>
    <t>España</t>
  </si>
  <si>
    <t>Australia</t>
  </si>
  <si>
    <t>Uruguay</t>
  </si>
  <si>
    <t>Costa Rica</t>
  </si>
  <si>
    <t>Inglaterra</t>
  </si>
  <si>
    <t>Suiza</t>
  </si>
  <si>
    <t>Francia</t>
  </si>
  <si>
    <t>Argentina</t>
  </si>
  <si>
    <t>Alemania</t>
  </si>
  <si>
    <t>Portugal</t>
  </si>
  <si>
    <t>Corea del Sur</t>
  </si>
  <si>
    <t>Participación</t>
  </si>
  <si>
    <t>Ganador</t>
  </si>
  <si>
    <t>Por cada equipo que acierte pasar a octavos de final y su ubicación</t>
  </si>
  <si>
    <t>Por cada equipo que acierte pasar a cuartos de final</t>
  </si>
  <si>
    <t>Por cada equipo que acierte pasar a la semifinal</t>
  </si>
  <si>
    <t>Por cada equipo que acierte pasar a la final</t>
  </si>
  <si>
    <t>Por acertar el Tercer Puesto</t>
  </si>
  <si>
    <t>Por acertar el Campeón</t>
  </si>
  <si>
    <t>Por acertar el resultado.</t>
  </si>
  <si>
    <t>Por acertar el marcador completo.</t>
  </si>
  <si>
    <t>Por cada equipo que acierte pasar a octavos de final sin importar la ubicación</t>
  </si>
  <si>
    <t>Primera Fase</t>
  </si>
  <si>
    <t>Cuadro Final</t>
  </si>
  <si>
    <t>1. La polla está abierta a cualquier persona que desee participar.</t>
  </si>
  <si>
    <t>Sistema de puntuación</t>
  </si>
  <si>
    <t>4. El formato se deberá diligenciar así:</t>
  </si>
  <si>
    <t>Por cada partido, la puntuación se asignará así:</t>
  </si>
  <si>
    <t>2 puntos</t>
  </si>
  <si>
    <t>Definiciones</t>
  </si>
  <si>
    <t>Objetivo</t>
  </si>
  <si>
    <t>El que más puntos válidos para la polla acumule al final del torneo será el ganador, y los premios serán entregados de acuerdo a las condiciones especificadas en en ítem de premios.</t>
  </si>
  <si>
    <t>Las disputas o controversias que se presenten serán resueltas por los organizadores de la polla, y sus decisiones serán finales e inapelables.</t>
  </si>
  <si>
    <t>Premios</t>
  </si>
  <si>
    <t>Disputas</t>
  </si>
  <si>
    <t>Los tres participantes que al finalizar el torneo terminen con más puntos, teniendo en cuenta el sistema de puntuación recibirán del acumulado la parte que corresponda a la siguiente división:</t>
  </si>
  <si>
    <t>ACIERTOS TOTAL MARCADORES</t>
  </si>
  <si>
    <t xml:space="preserve">ACIERTOS TOTAL RESULTADOS </t>
  </si>
  <si>
    <t xml:space="preserve">PUNTAJE TOTAL </t>
  </si>
  <si>
    <t>+2 puntos</t>
  </si>
  <si>
    <t>4 Puntos</t>
  </si>
  <si>
    <t>4 puntos</t>
  </si>
  <si>
    <t>8 puntos</t>
  </si>
  <si>
    <t>Goleador</t>
  </si>
  <si>
    <t>Arabia Saudita</t>
  </si>
  <si>
    <t>Marruecos</t>
  </si>
  <si>
    <t>Irán</t>
  </si>
  <si>
    <t>Dinamarca</t>
  </si>
  <si>
    <t>Serbia</t>
  </si>
  <si>
    <t>Bélgica</t>
  </si>
  <si>
    <t>Túnez</t>
  </si>
  <si>
    <t>Polonia</t>
  </si>
  <si>
    <t>Japón</t>
  </si>
  <si>
    <t>Senegal</t>
  </si>
  <si>
    <t>Goleador Opción 1</t>
  </si>
  <si>
    <t>Goleador Opción 2</t>
  </si>
  <si>
    <t>Puntaje</t>
  </si>
  <si>
    <t>Acumular puntos a lo largo de las dos fases en que se dividirá el torneo</t>
  </si>
  <si>
    <r>
      <t xml:space="preserve">      </t>
    </r>
    <r>
      <rPr>
        <sz val="12"/>
        <color theme="1"/>
        <rFont val="Calibri"/>
        <family val="2"/>
        <scheme val="minor"/>
      </rPr>
      <t>Por acertar al goleador del torneo (cualquiera de las 2 opciones)                                 10 puntos</t>
    </r>
  </si>
  <si>
    <t>2. La hora de los partidos corresponde a la hora oficial Colombiana: -5 GMT. Se reciben pronósticos hasta el día Sábado 19 de Noviembre del 2022 (hasta las 9pm) para la fase de primera Ronda, y hasta el 02 de Diciembre (hasta las 9pm) para la fase de Cuadro Final.</t>
  </si>
  <si>
    <t xml:space="preserve">a. Primera Fase: Debe hacer un pronóstico de marcador para cada partido. </t>
  </si>
  <si>
    <t xml:space="preserve"> Si se deja de hacer el pronóstico para un partido en especial, no acumulará puntos. </t>
  </si>
  <si>
    <t xml:space="preserve">b. Cuadro Final: Una vez definidos los equipos que pasan a octavos de final debe completar el cuadro final con los </t>
  </si>
  <si>
    <t xml:space="preserve"> equipos que considere seguirán avanzando en las rondas hasta coronar un campeón.</t>
  </si>
  <si>
    <t>c. Llenar en la hoja de goleador 2 posibles goleadores del torneo.</t>
  </si>
  <si>
    <t>d. Únicamente se diligencian las casillas de fondo blanco.</t>
  </si>
  <si>
    <t>5. La participación en la polla tiene un valor de $40.000 el cuál debe ser cancelado antes del 19 de Noviembre del 2022.  Quien no haya cancelado el valor para entonces no se le tendrán en cuenta sus predicciones.</t>
  </si>
  <si>
    <t>Resultado: Determina cual equipo resultó ganador o si hubo un empate.</t>
  </si>
  <si>
    <t>Marcador: El número de goles con que finalizó el partido para ambos equipos: Por ejemplo 1-0</t>
  </si>
  <si>
    <t>12 puntos</t>
  </si>
  <si>
    <t>15 puntos</t>
  </si>
  <si>
    <t>25 puntos</t>
  </si>
  <si>
    <t>El ganador (y cada posición) se determinará bajo los siguientes criterios de desempate:</t>
  </si>
  <si>
    <t>1. Mayor número de puntos válidos para la polla.</t>
  </si>
  <si>
    <t>2. Mayor número de aciertos a resultados.</t>
  </si>
  <si>
    <t>3. Mayor número de aciertos a marcadores.</t>
  </si>
  <si>
    <t>Para evitar suspicacias en los resultados finales se enviará una copia de cada una de las predicciones a todos los participantes para que cualquiera las pueda comprobar dado el caso</t>
  </si>
  <si>
    <t>SEGUNDO PUESTO: 25% del acumulado.</t>
  </si>
  <si>
    <t>TERCER PUESTO: 15% del acumulado.</t>
  </si>
  <si>
    <r>
      <t xml:space="preserve">PRIMER PUESTO: </t>
    </r>
    <r>
      <rPr>
        <b/>
        <sz val="12"/>
        <color rgb="FF000000"/>
        <rFont val="Calibri"/>
        <family val="2"/>
        <scheme val="minor"/>
      </rPr>
      <t>60%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del acumulado.</t>
    </r>
  </si>
  <si>
    <t>Editar esta tabla solo en el caso de que sea necesario un sorteo para definir las posiciones del grupo</t>
  </si>
  <si>
    <t>Qatar</t>
  </si>
  <si>
    <t>Ecuador</t>
  </si>
  <si>
    <t>Países Bajos</t>
  </si>
  <si>
    <t>USA</t>
  </si>
  <si>
    <t>Gales</t>
  </si>
  <si>
    <t>México</t>
  </si>
  <si>
    <t>Canadá</t>
  </si>
  <si>
    <t>Camerún</t>
  </si>
  <si>
    <t>Ghana</t>
  </si>
  <si>
    <t>Al Bayt</t>
  </si>
  <si>
    <t>Al Thumama</t>
  </si>
  <si>
    <t>Khalifa Intl</t>
  </si>
  <si>
    <t>Ahmad Bin Ali</t>
  </si>
  <si>
    <t>Estadio</t>
  </si>
  <si>
    <t>Education City</t>
  </si>
  <si>
    <t>Lusail</t>
  </si>
  <si>
    <t>Al Janoub</t>
  </si>
  <si>
    <t>Khalifa International</t>
  </si>
  <si>
    <t>03/12/2022 - 9:00</t>
  </si>
  <si>
    <t>05/12/2022 - 9:00</t>
  </si>
  <si>
    <t>04/12/2022 - 9:00</t>
  </si>
  <si>
    <t>06/12/2022 - 9:00</t>
  </si>
  <si>
    <t>09/12/2022 - 9:00</t>
  </si>
  <si>
    <t>10/12/2022 - 9:00</t>
  </si>
  <si>
    <t>13/12/2022 - 9:00</t>
  </si>
  <si>
    <t>18/12/2022 - 9:00</t>
  </si>
  <si>
    <t>17/12/2022 - 9:00</t>
  </si>
  <si>
    <t>14/12/2022 - 9:00</t>
  </si>
  <si>
    <t>3. En este archivo debe introducir su pronóstico y hacerlo llegar al correo carag37@hotmail.com antes de las fechas estipuladas (19 de noviembre primera fase, 02 de diciembre cuadro final).</t>
  </si>
  <si>
    <t>CODIGO</t>
  </si>
  <si>
    <t>GRUPO</t>
  </si>
  <si>
    <t>LOCAL</t>
  </si>
  <si>
    <t>GOLES_LOCAL</t>
  </si>
  <si>
    <t>VISITANTE</t>
  </si>
  <si>
    <t>GOLES_VISITANTE</t>
  </si>
  <si>
    <t>GOLES_LOCAL_REAL</t>
  </si>
  <si>
    <t>GOLES_VISITANTE_REAL</t>
  </si>
  <si>
    <t>F</t>
  </si>
  <si>
    <t>H</t>
  </si>
  <si>
    <t>OF</t>
  </si>
  <si>
    <t>CF</t>
  </si>
  <si>
    <t>SF</t>
  </si>
  <si>
    <t>3F</t>
  </si>
  <si>
    <t>PARTIDO</t>
  </si>
  <si>
    <t>CLASIFICADOS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</si>
  <si>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</si>
  <si>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</si>
  <si>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</si>
  <si>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</si>
  <si>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</si>
  <si>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</si>
  <si>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</si>
  <si>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</si>
  <si>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</si>
  <si>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</si>
  <si>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</si>
  <si>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</si>
  <si>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</si>
  <si>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</si>
  <si>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</si>
  <si>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</si>
  <si>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COD</t>
  </si>
  <si>
    <t>GOLEADOR</t>
  </si>
  <si>
    <t>Lionel Messi</t>
  </si>
  <si>
    <t>Mbappe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</si>
</sst>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b/>
      <sz val="14"/>
      <color theme="0"/>
      <name val="Arial Unicode MS"/>
      <family val="2"/>
    </font>
    <font>
      <b/>
      <sz val="14"/>
      <color theme="0"/>
      <name val="Arial"/>
      <family val="2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u/>
      <sz val="10"/>
      <color theme="0"/>
      <name val="Arial"/>
      <family val="2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indexed="9"/>
      <name val="Calibri"/>
      <family val="2"/>
      <scheme val="minor"/>
    </font>
    <font>
      <b/>
      <sz val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50"/>
        <bgColor indexed="31"/>
      </patternFill>
    </fill>
    <fill>
      <patternFill patternType="solid">
        <fgColor rgb="FFFFFFCC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3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indexed="3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31"/>
      </patternFill>
    </fill>
    <fill>
      <patternFill patternType="solid">
        <fgColor theme="2" tint="-0.749992370372631"/>
        <bgColor indexed="3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1"/>
      </patternFill>
    </fill>
    <fill>
      <patternFill patternType="solid">
        <fgColor rgb="FFCEDC16"/>
        <bgColor indexed="64"/>
      </patternFill>
    </fill>
    <fill>
      <patternFill patternType="solid">
        <fgColor rgb="FFA7B212"/>
        <bgColor indexed="64"/>
      </patternFill>
    </fill>
    <fill>
      <patternFill patternType="solid">
        <fgColor rgb="FFA7B212"/>
        <bgColor indexed="31"/>
      </patternFill>
    </fill>
    <fill>
      <patternFill patternType="solid">
        <fgColor rgb="FF960A32"/>
        <bgColor indexed="64"/>
      </patternFill>
    </fill>
    <fill>
      <patternFill patternType="solid">
        <fgColor rgb="FFB9B8B4"/>
        <bgColor indexed="64"/>
      </patternFill>
    </fill>
    <fill>
      <patternFill patternType="solid">
        <fgColor rgb="FFB9B8B4"/>
        <bgColor indexed="22"/>
      </patternFill>
    </fill>
    <fill>
      <patternFill patternType="solid">
        <fgColor rgb="FFB9B8B4"/>
        <bgColor indexed="26"/>
      </patternFill>
    </fill>
    <fill>
      <patternFill patternType="solid">
        <fgColor rgb="FFFDD7E2"/>
        <bgColor indexed="22"/>
      </patternFill>
    </fill>
    <fill>
      <patternFill patternType="solid">
        <fgColor rgb="FFFDD7E2"/>
        <bgColor indexed="64"/>
      </patternFill>
    </fill>
    <fill>
      <patternFill patternType="solid">
        <fgColor rgb="FFCBCBCB"/>
        <bgColor indexed="22"/>
      </patternFill>
    </fill>
    <fill>
      <patternFill patternType="solid">
        <fgColor rgb="FFCBCBCB"/>
        <bgColor indexed="26"/>
      </patternFill>
    </fill>
    <fill>
      <patternFill patternType="solid">
        <fgColor rgb="FF6C1223"/>
        <bgColor indexed="64"/>
      </patternFill>
    </fill>
    <fill>
      <patternFill patternType="solid">
        <fgColor rgb="FF6C1223"/>
        <bgColor indexed="22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725">
    <xf numFmtId="0" fontId="0" fillId="0" borderId="0" xfId="0"/>
    <xf numFmtId="0" fontId="6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7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  <protection locked="0"/>
    </xf>
    <xf numFmtId="0" fontId="13" fillId="7" borderId="46" xfId="0" applyFont="1" applyFill="1" applyBorder="1" applyAlignment="1" applyProtection="1">
      <alignment horizontal="center" vertical="center"/>
      <protection locked="0"/>
    </xf>
    <xf numFmtId="0" fontId="13" fillId="7" borderId="60" xfId="0" applyFont="1" applyFill="1" applyBorder="1" applyAlignment="1" applyProtection="1">
      <alignment horizontal="center" vertical="center"/>
      <protection locked="0"/>
    </xf>
    <xf numFmtId="0" fontId="13" fillId="8" borderId="60" xfId="0" applyFont="1" applyFill="1" applyBorder="1" applyAlignment="1" applyProtection="1">
      <alignment horizontal="center" vertical="center"/>
      <protection locked="0"/>
    </xf>
    <xf numFmtId="0" fontId="13" fillId="8" borderId="63" xfId="0" applyFont="1" applyFill="1" applyBorder="1" applyAlignment="1" applyProtection="1">
      <alignment horizontal="center" vertical="center"/>
      <protection locked="0"/>
    </xf>
    <xf numFmtId="0" fontId="17" fillId="7" borderId="66" xfId="0" applyFont="1" applyFill="1" applyBorder="1" applyAlignment="1" applyProtection="1">
      <alignment horizontal="center" vertical="center"/>
      <protection locked="0"/>
    </xf>
    <xf numFmtId="0" fontId="17" fillId="7" borderId="62" xfId="0" applyFont="1" applyFill="1" applyBorder="1" applyAlignment="1" applyProtection="1">
      <alignment horizontal="center" vertical="center"/>
      <protection locked="0"/>
    </xf>
    <xf numFmtId="0" fontId="13" fillId="8" borderId="53" xfId="0" applyFont="1" applyFill="1" applyBorder="1" applyAlignment="1" applyProtection="1">
      <alignment horizontal="left" vertical="center"/>
      <protection locked="0"/>
    </xf>
    <xf numFmtId="0" fontId="13" fillId="8" borderId="46" xfId="0" applyFont="1" applyFill="1" applyBorder="1" applyAlignment="1" applyProtection="1">
      <alignment horizontal="left" vertical="center"/>
      <protection locked="0"/>
    </xf>
    <xf numFmtId="0" fontId="13" fillId="7" borderId="16" xfId="0" applyFont="1" applyFill="1" applyBorder="1" applyAlignment="1" applyProtection="1">
      <alignment horizontal="left" vertical="center"/>
      <protection locked="0"/>
    </xf>
    <xf numFmtId="0" fontId="13" fillId="7" borderId="46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right"/>
      <protection hidden="1"/>
    </xf>
    <xf numFmtId="0" fontId="0" fillId="0" borderId="30" xfId="0" applyFont="1" applyBorder="1"/>
    <xf numFmtId="0" fontId="0" fillId="0" borderId="0" xfId="0" applyFont="1" applyBorder="1"/>
    <xf numFmtId="0" fontId="0" fillId="0" borderId="31" xfId="0" applyFont="1" applyBorder="1"/>
    <xf numFmtId="0" fontId="0" fillId="0" borderId="12" xfId="0" applyFont="1" applyBorder="1" applyAlignment="1" applyProtection="1">
      <alignment horizont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0" borderId="26" xfId="0" applyFont="1" applyFill="1" applyBorder="1" applyAlignment="1" applyProtection="1">
      <alignment horizontal="right"/>
      <protection hidden="1"/>
    </xf>
    <xf numFmtId="0" fontId="0" fillId="7" borderId="0" xfId="0" applyFont="1" applyFill="1" applyBorder="1" applyAlignment="1" applyProtection="1">
      <alignment horizontal="right"/>
      <protection hidden="1"/>
    </xf>
    <xf numFmtId="0" fontId="13" fillId="7" borderId="27" xfId="0" applyFont="1" applyFill="1" applyBorder="1" applyAlignment="1" applyProtection="1">
      <alignment horizontal="left" vertical="center"/>
      <protection locked="0"/>
    </xf>
    <xf numFmtId="0" fontId="13" fillId="8" borderId="78" xfId="0" applyFont="1" applyFill="1" applyBorder="1" applyAlignment="1" applyProtection="1">
      <alignment horizontal="center" vertical="center"/>
      <protection locked="0"/>
    </xf>
    <xf numFmtId="0" fontId="13" fillId="8" borderId="79" xfId="0" applyFont="1" applyFill="1" applyBorder="1" applyAlignment="1" applyProtection="1">
      <alignment horizontal="center" vertical="center"/>
      <protection locked="0"/>
    </xf>
    <xf numFmtId="0" fontId="13" fillId="7" borderId="63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23" fillId="0" borderId="0" xfId="0" applyFont="1"/>
    <xf numFmtId="0" fontId="23" fillId="0" borderId="30" xfId="0" applyFont="1" applyBorder="1" applyAlignment="1">
      <alignment horizontal="left" vertical="center" wrapText="1" indent="4"/>
    </xf>
    <xf numFmtId="0" fontId="23" fillId="0" borderId="31" xfId="0" applyFont="1" applyBorder="1" applyAlignment="1">
      <alignment vertical="center" wrapText="1"/>
    </xf>
    <xf numFmtId="49" fontId="23" fillId="0" borderId="31" xfId="0" applyNumberFormat="1" applyFont="1" applyBorder="1" applyAlignment="1">
      <alignment vertical="center" wrapText="1"/>
    </xf>
    <xf numFmtId="0" fontId="23" fillId="0" borderId="76" xfId="0" applyFont="1" applyBorder="1" applyAlignment="1">
      <alignment horizontal="left" vertical="center" wrapText="1" indent="4"/>
    </xf>
    <xf numFmtId="0" fontId="23" fillId="0" borderId="72" xfId="0" applyFont="1" applyBorder="1" applyAlignment="1">
      <alignment vertical="center" wrapText="1"/>
    </xf>
    <xf numFmtId="0" fontId="23" fillId="0" borderId="77" xfId="0" applyFont="1" applyBorder="1" applyAlignment="1">
      <alignment horizontal="left" vertical="center" wrapText="1" indent="4"/>
    </xf>
    <xf numFmtId="0" fontId="23" fillId="0" borderId="71" xfId="0" applyFont="1" applyBorder="1" applyAlignment="1">
      <alignment vertical="center" wrapText="1"/>
    </xf>
    <xf numFmtId="0" fontId="18" fillId="6" borderId="17" xfId="0" applyFont="1" applyFill="1" applyBorder="1" applyAlignment="1" applyProtection="1">
      <alignment horizontal="left"/>
      <protection hidden="1"/>
    </xf>
    <xf numFmtId="0" fontId="18" fillId="6" borderId="18" xfId="0" applyFont="1" applyFill="1" applyBorder="1" applyAlignment="1" applyProtection="1">
      <alignment horizontal="center"/>
      <protection hidden="1"/>
    </xf>
    <xf numFmtId="0" fontId="18" fillId="6" borderId="19" xfId="0" applyFont="1" applyFill="1" applyBorder="1" applyAlignment="1" applyProtection="1">
      <alignment horizontal="center"/>
      <protection hidden="1"/>
    </xf>
    <xf numFmtId="0" fontId="18" fillId="0" borderId="21" xfId="0" applyFont="1" applyFill="1" applyBorder="1" applyAlignment="1" applyProtection="1">
      <alignment horizontal="center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/>
    <xf numFmtId="0" fontId="0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/>
    <xf numFmtId="0" fontId="18" fillId="6" borderId="24" xfId="0" applyFont="1" applyFill="1" applyBorder="1" applyAlignment="1" applyProtection="1">
      <alignment horizontal="left"/>
      <protection hidden="1"/>
    </xf>
    <xf numFmtId="0" fontId="18" fillId="6" borderId="35" xfId="0" applyFont="1" applyFill="1" applyBorder="1" applyAlignment="1" applyProtection="1">
      <alignment horizontal="center"/>
      <protection hidden="1"/>
    </xf>
    <xf numFmtId="0" fontId="18" fillId="6" borderId="25" xfId="0" applyFont="1" applyFill="1" applyBorder="1" applyAlignment="1" applyProtection="1">
      <alignment horizontal="center"/>
      <protection hidden="1"/>
    </xf>
    <xf numFmtId="0" fontId="18" fillId="6" borderId="28" xfId="0" applyFont="1" applyFill="1" applyBorder="1" applyAlignment="1" applyProtection="1">
      <alignment horizontal="center"/>
      <protection hidden="1"/>
    </xf>
    <xf numFmtId="0" fontId="18" fillId="6" borderId="34" xfId="0" applyFont="1" applyFill="1" applyBorder="1" applyAlignment="1" applyProtection="1">
      <alignment horizontal="center"/>
      <protection hidden="1"/>
    </xf>
    <xf numFmtId="0" fontId="18" fillId="6" borderId="29" xfId="0" applyFont="1" applyFill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9" xfId="0" applyFont="1" applyBorder="1"/>
    <xf numFmtId="0" fontId="0" fillId="0" borderId="36" xfId="0" applyFont="1" applyBorder="1"/>
    <xf numFmtId="0" fontId="0" fillId="0" borderId="1" xfId="0" applyFont="1" applyFill="1" applyBorder="1"/>
    <xf numFmtId="0" fontId="0" fillId="0" borderId="2" xfId="0" applyFont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37" xfId="0" applyFont="1" applyBorder="1"/>
    <xf numFmtId="0" fontId="0" fillId="0" borderId="11" xfId="0" applyFont="1" applyFill="1" applyBorder="1"/>
    <xf numFmtId="0" fontId="0" fillId="0" borderId="7" xfId="0" applyFont="1" applyFill="1" applyBorder="1"/>
    <xf numFmtId="0" fontId="0" fillId="0" borderId="12" xfId="0" applyFont="1" applyFill="1" applyBorder="1"/>
    <xf numFmtId="0" fontId="0" fillId="0" borderId="15" xfId="0" applyFont="1" applyBorder="1"/>
    <xf numFmtId="0" fontId="0" fillId="0" borderId="13" xfId="0" applyFont="1" applyBorder="1"/>
    <xf numFmtId="0" fontId="0" fillId="0" borderId="38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18" fillId="6" borderId="35" xfId="0" applyFont="1" applyFill="1" applyBorder="1" applyAlignment="1" applyProtection="1">
      <alignment horizontal="left"/>
      <protection hidden="1"/>
    </xf>
    <xf numFmtId="0" fontId="0" fillId="0" borderId="10" xfId="0" applyFont="1" applyBorder="1"/>
    <xf numFmtId="0" fontId="0" fillId="0" borderId="12" xfId="0" applyFont="1" applyBorder="1"/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4" xfId="0" applyFont="1" applyBorder="1"/>
    <xf numFmtId="0" fontId="0" fillId="0" borderId="6" xfId="0" applyFont="1" applyBorder="1"/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32" xfId="0" applyFont="1" applyBorder="1"/>
    <xf numFmtId="0" fontId="0" fillId="0" borderId="26" xfId="0" applyFont="1" applyBorder="1"/>
    <xf numFmtId="0" fontId="0" fillId="0" borderId="33" xfId="0" applyFont="1" applyBorder="1"/>
    <xf numFmtId="0" fontId="0" fillId="0" borderId="26" xfId="0" applyFont="1" applyBorder="1" applyProtection="1">
      <protection hidden="1"/>
    </xf>
    <xf numFmtId="0" fontId="0" fillId="0" borderId="0" xfId="0" applyFont="1" applyProtection="1">
      <protection hidden="1"/>
    </xf>
    <xf numFmtId="16" fontId="0" fillId="7" borderId="0" xfId="0" applyNumberFormat="1" applyFont="1" applyFill="1" applyBorder="1" applyProtection="1">
      <protection hidden="1"/>
    </xf>
    <xf numFmtId="20" fontId="0" fillId="7" borderId="0" xfId="0" applyNumberFormat="1" applyFont="1" applyFill="1" applyBorder="1" applyProtection="1">
      <protection hidden="1"/>
    </xf>
    <xf numFmtId="0" fontId="0" fillId="7" borderId="0" xfId="0" applyFont="1" applyFill="1" applyBorder="1" applyProtection="1">
      <protection hidden="1"/>
    </xf>
    <xf numFmtId="0" fontId="0" fillId="8" borderId="0" xfId="0" applyFont="1" applyFill="1" applyBorder="1" applyProtection="1">
      <protection hidden="1"/>
    </xf>
    <xf numFmtId="0" fontId="0" fillId="2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6" xfId="0" applyFont="1" applyFill="1" applyBorder="1"/>
    <xf numFmtId="16" fontId="0" fillId="0" borderId="26" xfId="0" applyNumberFormat="1" applyFont="1" applyFill="1" applyBorder="1" applyProtection="1">
      <protection hidden="1"/>
    </xf>
    <xf numFmtId="20" fontId="0" fillId="0" borderId="26" xfId="0" applyNumberFormat="1" applyFont="1" applyFill="1" applyBorder="1" applyProtection="1">
      <protection hidden="1"/>
    </xf>
    <xf numFmtId="0" fontId="0" fillId="0" borderId="26" xfId="0" applyFont="1" applyFill="1" applyBorder="1" applyProtection="1">
      <protection hidden="1"/>
    </xf>
    <xf numFmtId="16" fontId="0" fillId="0" borderId="0" xfId="0" applyNumberFormat="1" applyFont="1" applyFill="1" applyBorder="1" applyProtection="1">
      <protection hidden="1"/>
    </xf>
    <xf numFmtId="20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34" xfId="0" applyFont="1" applyBorder="1"/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2" fillId="2" borderId="7" xfId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 applyProtection="1">
      <alignment horizontal="center"/>
      <protection hidden="1"/>
    </xf>
    <xf numFmtId="0" fontId="18" fillId="29" borderId="9" xfId="0" applyFont="1" applyFill="1" applyBorder="1" applyAlignment="1" applyProtection="1">
      <alignment horizontal="center"/>
      <protection hidden="1"/>
    </xf>
    <xf numFmtId="0" fontId="18" fillId="29" borderId="10" xfId="0" applyFont="1" applyFill="1" applyBorder="1" applyAlignment="1" applyProtection="1">
      <alignment horizontal="center"/>
      <protection hidden="1"/>
    </xf>
    <xf numFmtId="0" fontId="18" fillId="26" borderId="9" xfId="0" applyFont="1" applyFill="1" applyBorder="1" applyAlignment="1" applyProtection="1">
      <alignment horizontal="center"/>
      <protection hidden="1"/>
    </xf>
    <xf numFmtId="0" fontId="18" fillId="26" borderId="10" xfId="0" applyFont="1" applyFill="1" applyBorder="1" applyAlignment="1" applyProtection="1">
      <alignment horizontal="center"/>
      <protection hidden="1"/>
    </xf>
    <xf numFmtId="0" fontId="18" fillId="24" borderId="9" xfId="0" applyFont="1" applyFill="1" applyBorder="1" applyAlignment="1" applyProtection="1">
      <alignment horizontal="center"/>
      <protection hidden="1"/>
    </xf>
    <xf numFmtId="0" fontId="18" fillId="24" borderId="10" xfId="0" applyFont="1" applyFill="1" applyBorder="1" applyAlignment="1" applyProtection="1">
      <alignment horizontal="center"/>
      <protection hidden="1"/>
    </xf>
    <xf numFmtId="0" fontId="1" fillId="21" borderId="9" xfId="0" applyFont="1" applyFill="1" applyBorder="1" applyAlignment="1" applyProtection="1">
      <alignment horizontal="center"/>
      <protection hidden="1"/>
    </xf>
    <xf numFmtId="0" fontId="1" fillId="21" borderId="10" xfId="0" applyFont="1" applyFill="1" applyBorder="1" applyAlignment="1" applyProtection="1">
      <alignment horizontal="center"/>
      <protection hidden="1"/>
    </xf>
    <xf numFmtId="0" fontId="1" fillId="18" borderId="9" xfId="0" applyFont="1" applyFill="1" applyBorder="1" applyAlignment="1" applyProtection="1">
      <alignment horizontal="center"/>
      <protection hidden="1"/>
    </xf>
    <xf numFmtId="0" fontId="1" fillId="18" borderId="10" xfId="0" applyFont="1" applyFill="1" applyBorder="1" applyAlignment="1" applyProtection="1">
      <alignment horizontal="center"/>
      <protection hidden="1"/>
    </xf>
    <xf numFmtId="0" fontId="1" fillId="15" borderId="9" xfId="0" applyFont="1" applyFill="1" applyBorder="1" applyAlignment="1" applyProtection="1">
      <alignment horizontal="center"/>
      <protection hidden="1"/>
    </xf>
    <xf numFmtId="0" fontId="1" fillId="15" borderId="10" xfId="0" applyFont="1" applyFill="1" applyBorder="1" applyAlignment="1" applyProtection="1">
      <alignment horizontal="center"/>
      <protection hidden="1"/>
    </xf>
    <xf numFmtId="0" fontId="18" fillId="11" borderId="9" xfId="0" applyFont="1" applyFill="1" applyBorder="1" applyAlignment="1" applyProtection="1">
      <alignment horizontal="center"/>
      <protection hidden="1"/>
    </xf>
    <xf numFmtId="0" fontId="18" fillId="11" borderId="10" xfId="0" applyFont="1" applyFill="1" applyBorder="1" applyAlignment="1" applyProtection="1">
      <alignment horizontal="center"/>
      <protection hidden="1"/>
    </xf>
    <xf numFmtId="0" fontId="1" fillId="6" borderId="25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1" fillId="26" borderId="25" xfId="0" applyFont="1" applyFill="1" applyBorder="1" applyAlignment="1">
      <alignment horizontal="center" vertical="center"/>
    </xf>
    <xf numFmtId="0" fontId="1" fillId="24" borderId="25" xfId="0" applyFont="1" applyFill="1" applyBorder="1" applyAlignment="1">
      <alignment horizontal="center" vertical="center"/>
    </xf>
    <xf numFmtId="0" fontId="1" fillId="21" borderId="25" xfId="0" applyFont="1" applyFill="1" applyBorder="1" applyAlignment="1">
      <alignment horizontal="center" vertical="center"/>
    </xf>
    <xf numFmtId="0" fontId="1" fillId="18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1" borderId="25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0" fillId="32" borderId="24" xfId="0" applyFill="1" applyBorder="1" applyAlignment="1">
      <alignment horizontal="center" vertical="center"/>
    </xf>
    <xf numFmtId="0" fontId="0" fillId="32" borderId="35" xfId="0" applyFill="1" applyBorder="1" applyAlignment="1">
      <alignment horizontal="center" vertical="center"/>
    </xf>
    <xf numFmtId="0" fontId="0" fillId="32" borderId="70" xfId="0" applyFill="1" applyBorder="1" applyAlignment="1">
      <alignment horizontal="center" vertical="center"/>
    </xf>
    <xf numFmtId="0" fontId="0" fillId="32" borderId="64" xfId="0" applyFill="1" applyBorder="1" applyAlignment="1">
      <alignment horizontal="center" vertical="center"/>
    </xf>
    <xf numFmtId="0" fontId="17" fillId="32" borderId="27" xfId="0" applyFont="1" applyFill="1" applyBorder="1"/>
    <xf numFmtId="0" fontId="0" fillId="31" borderId="0" xfId="0" applyFill="1"/>
    <xf numFmtId="0" fontId="13" fillId="33" borderId="16" xfId="0" applyFont="1" applyFill="1" applyBorder="1" applyProtection="1">
      <protection hidden="1"/>
    </xf>
    <xf numFmtId="0" fontId="13" fillId="33" borderId="16" xfId="0" applyFont="1" applyFill="1" applyBorder="1" applyAlignment="1" applyProtection="1">
      <alignment horizontal="left"/>
      <protection hidden="1"/>
    </xf>
    <xf numFmtId="0" fontId="13" fillId="34" borderId="16" xfId="0" applyFont="1" applyFill="1" applyBorder="1" applyAlignment="1" applyProtection="1">
      <alignment horizontal="left"/>
      <protection hidden="1"/>
    </xf>
    <xf numFmtId="0" fontId="13" fillId="33" borderId="45" xfId="0" applyFont="1" applyFill="1" applyBorder="1" applyAlignment="1" applyProtection="1">
      <alignment horizontal="center" vertical="center"/>
      <protection hidden="1"/>
    </xf>
    <xf numFmtId="0" fontId="13" fillId="33" borderId="16" xfId="0" applyFont="1" applyFill="1" applyBorder="1" applyAlignment="1" applyProtection="1">
      <alignment horizontal="left" vertical="center"/>
      <protection hidden="1"/>
    </xf>
    <xf numFmtId="0" fontId="13" fillId="33" borderId="58" xfId="0" applyFont="1" applyFill="1" applyBorder="1" applyAlignment="1" applyProtection="1">
      <alignment horizontal="left" vertical="center"/>
      <protection hidden="1"/>
    </xf>
    <xf numFmtId="0" fontId="13" fillId="33" borderId="16" xfId="0" applyFont="1" applyFill="1" applyBorder="1" applyAlignment="1" applyProtection="1">
      <alignment horizontal="center" vertical="center"/>
      <protection hidden="1"/>
    </xf>
    <xf numFmtId="0" fontId="2" fillId="11" borderId="17" xfId="0" applyFont="1" applyFill="1" applyBorder="1"/>
    <xf numFmtId="0" fontId="2" fillId="29" borderId="17" xfId="0" applyFont="1" applyFill="1" applyBorder="1"/>
    <xf numFmtId="0" fontId="0" fillId="26" borderId="17" xfId="0" applyFont="1" applyFill="1" applyBorder="1"/>
    <xf numFmtId="0" fontId="2" fillId="24" borderId="17" xfId="0" applyFont="1" applyFill="1" applyBorder="1"/>
    <xf numFmtId="0" fontId="2" fillId="21" borderId="17" xfId="0" applyFont="1" applyFill="1" applyBorder="1"/>
    <xf numFmtId="0" fontId="2" fillId="18" borderId="17" xfId="0" applyFont="1" applyFill="1" applyBorder="1"/>
    <xf numFmtId="0" fontId="2" fillId="15" borderId="17" xfId="0" applyFont="1" applyFill="1" applyBorder="1"/>
    <xf numFmtId="0" fontId="0" fillId="6" borderId="17" xfId="0" applyFont="1" applyFill="1" applyBorder="1"/>
    <xf numFmtId="0" fontId="0" fillId="6" borderId="19" xfId="0" applyFont="1" applyFill="1" applyBorder="1"/>
    <xf numFmtId="0" fontId="2" fillId="29" borderId="19" xfId="0" applyFont="1" applyFill="1" applyBorder="1"/>
    <xf numFmtId="0" fontId="0" fillId="26" borderId="19" xfId="0" applyFont="1" applyFill="1" applyBorder="1"/>
    <xf numFmtId="0" fontId="2" fillId="24" borderId="19" xfId="0" applyFont="1" applyFill="1" applyBorder="1"/>
    <xf numFmtId="0" fontId="2" fillId="21" borderId="19" xfId="0" applyFont="1" applyFill="1" applyBorder="1"/>
    <xf numFmtId="0" fontId="2" fillId="18" borderId="19" xfId="0" applyFont="1" applyFill="1" applyBorder="1"/>
    <xf numFmtId="0" fontId="2" fillId="15" borderId="19" xfId="0" applyFont="1" applyFill="1" applyBorder="1"/>
    <xf numFmtId="0" fontId="2" fillId="11" borderId="19" xfId="0" applyFont="1" applyFill="1" applyBorder="1"/>
    <xf numFmtId="0" fontId="22" fillId="2" borderId="2" xfId="1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22" fillId="0" borderId="2" xfId="1" applyFont="1" applyFill="1" applyBorder="1" applyAlignment="1" applyProtection="1">
      <alignment vertical="center"/>
      <protection hidden="1"/>
    </xf>
    <xf numFmtId="0" fontId="22" fillId="0" borderId="7" xfId="1" applyFont="1" applyFill="1" applyBorder="1" applyAlignment="1" applyProtection="1">
      <alignment vertical="center"/>
      <protection hidden="1"/>
    </xf>
    <xf numFmtId="0" fontId="28" fillId="3" borderId="15" xfId="1" applyFont="1" applyFill="1" applyBorder="1" applyAlignment="1" applyProtection="1">
      <alignment horizontal="center" vertical="center"/>
      <protection hidden="1"/>
    </xf>
    <xf numFmtId="0" fontId="28" fillId="30" borderId="15" xfId="1" applyFont="1" applyFill="1" applyBorder="1" applyAlignment="1" applyProtection="1">
      <alignment horizontal="center" vertical="center"/>
      <protection hidden="1"/>
    </xf>
    <xf numFmtId="0" fontId="28" fillId="27" borderId="15" xfId="1" applyFont="1" applyFill="1" applyBorder="1" applyAlignment="1" applyProtection="1">
      <alignment horizontal="center" vertical="center"/>
      <protection hidden="1"/>
    </xf>
    <xf numFmtId="0" fontId="28" fillId="23" borderId="15" xfId="1" applyFont="1" applyFill="1" applyBorder="1" applyAlignment="1" applyProtection="1">
      <alignment horizontal="center" vertical="center"/>
      <protection hidden="1"/>
    </xf>
    <xf numFmtId="0" fontId="4" fillId="22" borderId="15" xfId="1" applyFont="1" applyFill="1" applyBorder="1" applyAlignment="1" applyProtection="1">
      <alignment horizontal="center" vertical="center"/>
      <protection hidden="1"/>
    </xf>
    <xf numFmtId="0" fontId="28" fillId="19" borderId="15" xfId="1" applyFont="1" applyFill="1" applyBorder="1" applyAlignment="1" applyProtection="1">
      <alignment horizontal="center" vertical="center"/>
      <protection hidden="1"/>
    </xf>
    <xf numFmtId="0" fontId="28" fillId="16" borderId="15" xfId="1" applyFont="1" applyFill="1" applyBorder="1" applyAlignment="1" applyProtection="1">
      <alignment horizontal="center" vertical="center"/>
      <protection hidden="1"/>
    </xf>
    <xf numFmtId="0" fontId="28" fillId="12" borderId="15" xfId="1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>
      <alignment vertical="center"/>
    </xf>
    <xf numFmtId="0" fontId="1" fillId="6" borderId="38" xfId="0" applyFont="1" applyFill="1" applyBorder="1" applyAlignment="1">
      <alignment horizontal="center" vertical="center"/>
    </xf>
    <xf numFmtId="0" fontId="4" fillId="29" borderId="13" xfId="0" applyFont="1" applyFill="1" applyBorder="1" applyAlignment="1">
      <alignment vertical="center"/>
    </xf>
    <xf numFmtId="0" fontId="1" fillId="29" borderId="38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vertical="center"/>
    </xf>
    <xf numFmtId="0" fontId="1" fillId="26" borderId="38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vertical="center"/>
    </xf>
    <xf numFmtId="0" fontId="1" fillId="24" borderId="38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vertical="center"/>
    </xf>
    <xf numFmtId="0" fontId="1" fillId="21" borderId="38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vertical="center"/>
    </xf>
    <xf numFmtId="0" fontId="1" fillId="18" borderId="38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vertical="center"/>
    </xf>
    <xf numFmtId="0" fontId="1" fillId="15" borderId="38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vertical="center"/>
    </xf>
    <xf numFmtId="0" fontId="1" fillId="11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 applyProtection="1">
      <alignment horizontal="left"/>
      <protection hidden="1"/>
    </xf>
    <xf numFmtId="0" fontId="1" fillId="6" borderId="42" xfId="0" applyFont="1" applyFill="1" applyBorder="1" applyAlignment="1"/>
    <xf numFmtId="0" fontId="18" fillId="29" borderId="39" xfId="0" applyFont="1" applyFill="1" applyBorder="1" applyAlignment="1" applyProtection="1">
      <alignment horizontal="left"/>
      <protection hidden="1"/>
    </xf>
    <xf numFmtId="0" fontId="1" fillId="29" borderId="42" xfId="0" applyFont="1" applyFill="1" applyBorder="1" applyAlignment="1">
      <alignment horizontal="center" vertical="center"/>
    </xf>
    <xf numFmtId="0" fontId="18" fillId="26" borderId="39" xfId="0" applyFont="1" applyFill="1" applyBorder="1" applyAlignment="1" applyProtection="1">
      <alignment horizontal="left"/>
      <protection hidden="1"/>
    </xf>
    <xf numFmtId="0" fontId="1" fillId="26" borderId="42" xfId="0" applyFont="1" applyFill="1" applyBorder="1" applyAlignment="1" applyProtection="1">
      <protection hidden="1"/>
    </xf>
    <xf numFmtId="0" fontId="18" fillId="24" borderId="39" xfId="0" applyFont="1" applyFill="1" applyBorder="1" applyAlignment="1" applyProtection="1">
      <alignment horizontal="left"/>
      <protection hidden="1"/>
    </xf>
    <xf numFmtId="0" fontId="1" fillId="24" borderId="42" xfId="0" applyFont="1" applyFill="1" applyBorder="1" applyAlignment="1"/>
    <xf numFmtId="0" fontId="1" fillId="21" borderId="39" xfId="0" applyFont="1" applyFill="1" applyBorder="1" applyAlignment="1" applyProtection="1">
      <alignment horizontal="left"/>
      <protection hidden="1"/>
    </xf>
    <xf numFmtId="0" fontId="1" fillId="21" borderId="42" xfId="0" applyFont="1" applyFill="1" applyBorder="1" applyAlignment="1"/>
    <xf numFmtId="0" fontId="1" fillId="18" borderId="39" xfId="0" applyFont="1" applyFill="1" applyBorder="1" applyAlignment="1" applyProtection="1">
      <alignment horizontal="left"/>
      <protection hidden="1"/>
    </xf>
    <xf numFmtId="0" fontId="1" fillId="18" borderId="42" xfId="0" applyFont="1" applyFill="1" applyBorder="1" applyAlignment="1"/>
    <xf numFmtId="0" fontId="1" fillId="15" borderId="39" xfId="0" applyFont="1" applyFill="1" applyBorder="1" applyAlignment="1" applyProtection="1">
      <alignment horizontal="left"/>
      <protection hidden="1"/>
    </xf>
    <xf numFmtId="0" fontId="1" fillId="15" borderId="42" xfId="0" applyFont="1" applyFill="1" applyBorder="1" applyAlignment="1"/>
    <xf numFmtId="0" fontId="18" fillId="11" borderId="39" xfId="0" applyFont="1" applyFill="1" applyBorder="1" applyAlignment="1" applyProtection="1">
      <alignment horizontal="left"/>
      <protection hidden="1"/>
    </xf>
    <xf numFmtId="0" fontId="1" fillId="11" borderId="42" xfId="0" applyFont="1" applyFill="1" applyBorder="1" applyAlignment="1" applyProtection="1">
      <protection hidden="1"/>
    </xf>
    <xf numFmtId="0" fontId="0" fillId="36" borderId="39" xfId="0" applyFont="1" applyFill="1" applyBorder="1" applyAlignment="1" applyProtection="1">
      <alignment horizontal="center" vertical="center"/>
      <protection hidden="1"/>
    </xf>
    <xf numFmtId="0" fontId="0" fillId="36" borderId="80" xfId="0" applyFont="1" applyFill="1" applyBorder="1" applyAlignment="1" applyProtection="1">
      <alignment horizontal="center" vertical="center"/>
      <protection hidden="1"/>
    </xf>
    <xf numFmtId="0" fontId="0" fillId="36" borderId="10" xfId="0" applyFont="1" applyFill="1" applyBorder="1" applyAlignment="1" applyProtection="1">
      <alignment horizontal="center" vertical="center"/>
      <protection hidden="1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0" fillId="36" borderId="1" xfId="0" applyFont="1" applyFill="1" applyBorder="1" applyAlignment="1" applyProtection="1">
      <alignment horizontal="left" vertical="center" wrapText="1"/>
      <protection hidden="1"/>
    </xf>
    <xf numFmtId="0" fontId="0" fillId="36" borderId="11" xfId="0" applyFont="1" applyFill="1" applyBorder="1" applyAlignment="1" applyProtection="1">
      <alignment horizontal="left" vertical="center" wrapText="1"/>
      <protection hidden="1"/>
    </xf>
    <xf numFmtId="0" fontId="0" fillId="36" borderId="4" xfId="0" applyFont="1" applyFill="1" applyBorder="1" applyAlignment="1" applyProtection="1">
      <alignment horizontal="left" vertical="center" wrapText="1"/>
      <protection hidden="1"/>
    </xf>
    <xf numFmtId="0" fontId="22" fillId="37" borderId="7" xfId="1" applyFont="1" applyFill="1" applyBorder="1" applyAlignment="1" applyProtection="1">
      <alignment vertical="center"/>
      <protection hidden="1"/>
    </xf>
    <xf numFmtId="0" fontId="22" fillId="37" borderId="5" xfId="1" applyFont="1" applyFill="1" applyBorder="1" applyAlignment="1" applyProtection="1">
      <alignment horizontal="left" vertical="center"/>
      <protection hidden="1"/>
    </xf>
    <xf numFmtId="0" fontId="22" fillId="38" borderId="5" xfId="1" applyFont="1" applyFill="1" applyBorder="1" applyAlignment="1" applyProtection="1">
      <alignment horizontal="center" vertical="center"/>
      <protection locked="0"/>
    </xf>
    <xf numFmtId="0" fontId="22" fillId="38" borderId="7" xfId="1" applyFont="1" applyFill="1" applyBorder="1" applyAlignment="1" applyProtection="1">
      <alignment horizontal="center" vertical="center"/>
      <protection locked="0"/>
    </xf>
    <xf numFmtId="0" fontId="0" fillId="38" borderId="5" xfId="0" applyFont="1" applyFill="1" applyBorder="1" applyAlignment="1" applyProtection="1">
      <alignment horizontal="center" vertical="center"/>
      <protection locked="0"/>
    </xf>
    <xf numFmtId="0" fontId="0" fillId="38" borderId="7" xfId="0" applyFont="1" applyFill="1" applyBorder="1" applyAlignment="1" applyProtection="1">
      <alignment horizontal="center" vertical="center"/>
      <protection locked="0"/>
    </xf>
    <xf numFmtId="0" fontId="5" fillId="39" borderId="24" xfId="0" applyFont="1" applyFill="1" applyBorder="1" applyAlignment="1">
      <alignment horizontal="center"/>
    </xf>
    <xf numFmtId="0" fontId="1" fillId="39" borderId="1" xfId="0" applyFont="1" applyFill="1" applyBorder="1"/>
    <xf numFmtId="0" fontId="1" fillId="39" borderId="42" xfId="0" applyFont="1" applyFill="1" applyBorder="1" applyAlignment="1">
      <alignment horizontal="center" vertical="center" wrapText="1"/>
    </xf>
    <xf numFmtId="0" fontId="1" fillId="39" borderId="35" xfId="0" applyFont="1" applyFill="1" applyBorder="1" applyAlignment="1">
      <alignment horizontal="center" vertical="center" wrapText="1"/>
    </xf>
    <xf numFmtId="0" fontId="1" fillId="39" borderId="64" xfId="0" applyFont="1" applyFill="1" applyBorder="1" applyAlignment="1">
      <alignment horizontal="center" vertical="center" wrapText="1"/>
    </xf>
    <xf numFmtId="0" fontId="1" fillId="39" borderId="69" xfId="0" applyFont="1" applyFill="1" applyBorder="1"/>
    <xf numFmtId="0" fontId="1" fillId="39" borderId="41" xfId="0" applyFont="1" applyFill="1" applyBorder="1"/>
    <xf numFmtId="0" fontId="1" fillId="39" borderId="43" xfId="0" applyFont="1" applyFill="1" applyBorder="1"/>
    <xf numFmtId="0" fontId="1" fillId="39" borderId="27" xfId="0" applyFont="1" applyFill="1" applyBorder="1"/>
    <xf numFmtId="0" fontId="13" fillId="40" borderId="0" xfId="0" applyFont="1" applyFill="1" applyBorder="1" applyProtection="1">
      <protection hidden="1"/>
    </xf>
    <xf numFmtId="0" fontId="0" fillId="39" borderId="28" xfId="0" applyFill="1" applyBorder="1"/>
    <xf numFmtId="0" fontId="0" fillId="39" borderId="30" xfId="0" applyFill="1" applyBorder="1"/>
    <xf numFmtId="0" fontId="13" fillId="39" borderId="30" xfId="0" applyFont="1" applyFill="1" applyBorder="1" applyAlignment="1">
      <alignment horizontal="right"/>
    </xf>
    <xf numFmtId="0" fontId="1" fillId="40" borderId="30" xfId="0" applyFont="1" applyFill="1" applyBorder="1" applyAlignment="1" applyProtection="1">
      <alignment horizontal="right"/>
      <protection hidden="1"/>
    </xf>
    <xf numFmtId="0" fontId="13" fillId="39" borderId="30" xfId="0" applyFont="1" applyFill="1" applyBorder="1"/>
    <xf numFmtId="0" fontId="13" fillId="39" borderId="32" xfId="0" applyFont="1" applyFill="1" applyBorder="1"/>
    <xf numFmtId="0" fontId="0" fillId="39" borderId="34" xfId="0" applyFill="1" applyBorder="1"/>
    <xf numFmtId="0" fontId="0" fillId="39" borderId="29" xfId="0" applyFill="1" applyBorder="1" applyAlignment="1">
      <alignment horizontal="left"/>
    </xf>
    <xf numFmtId="0" fontId="9" fillId="40" borderId="0" xfId="0" applyFont="1" applyFill="1" applyBorder="1" applyAlignment="1" applyProtection="1">
      <alignment horizontal="center"/>
      <protection hidden="1"/>
    </xf>
    <xf numFmtId="0" fontId="0" fillId="39" borderId="31" xfId="0" applyFill="1" applyBorder="1" applyAlignment="1">
      <alignment horizontal="left"/>
    </xf>
    <xf numFmtId="0" fontId="1" fillId="40" borderId="0" xfId="0" applyFont="1" applyFill="1" applyBorder="1" applyProtection="1">
      <protection hidden="1"/>
    </xf>
    <xf numFmtId="0" fontId="1" fillId="40" borderId="0" xfId="0" applyFont="1" applyFill="1" applyBorder="1" applyAlignment="1" applyProtection="1">
      <alignment horizontal="center" vertical="center"/>
      <protection hidden="1"/>
    </xf>
    <xf numFmtId="0" fontId="13" fillId="39" borderId="0" xfId="0" applyFont="1" applyFill="1" applyBorder="1"/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0" xfId="0" applyFont="1" applyFill="1" applyBorder="1" applyAlignment="1" applyProtection="1">
      <alignment horizontal="right"/>
      <protection hidden="1"/>
    </xf>
    <xf numFmtId="0" fontId="13" fillId="39" borderId="31" xfId="0" applyFont="1" applyFill="1" applyBorder="1" applyAlignment="1">
      <alignment horizontal="left"/>
    </xf>
    <xf numFmtId="0" fontId="18" fillId="40" borderId="48" xfId="2" applyNumberFormat="1" applyFont="1" applyFill="1" applyBorder="1" applyAlignment="1" applyProtection="1">
      <alignment horizontal="center" vertical="center" wrapText="1"/>
      <protection hidden="1"/>
    </xf>
    <xf numFmtId="0" fontId="18" fillId="40" borderId="0" xfId="2" applyNumberFormat="1" applyFont="1" applyFill="1" applyBorder="1" applyAlignment="1" applyProtection="1">
      <alignment horizontal="center" vertical="center" wrapText="1"/>
      <protection hidden="1"/>
    </xf>
    <xf numFmtId="164" fontId="18" fillId="40" borderId="0" xfId="0" applyNumberFormat="1" applyFont="1" applyFill="1" applyBorder="1" applyAlignment="1" applyProtection="1">
      <alignment horizontal="center"/>
      <protection hidden="1"/>
    </xf>
    <xf numFmtId="0" fontId="19" fillId="40" borderId="47" xfId="2" applyNumberFormat="1" applyFont="1" applyFill="1" applyBorder="1" applyAlignment="1" applyProtection="1">
      <alignment vertical="center" wrapText="1"/>
      <protection hidden="1"/>
    </xf>
    <xf numFmtId="164" fontId="1" fillId="40" borderId="47" xfId="0" applyNumberFormat="1" applyFont="1" applyFill="1" applyBorder="1" applyProtection="1">
      <protection hidden="1"/>
    </xf>
    <xf numFmtId="0" fontId="1" fillId="40" borderId="33" xfId="0" applyFont="1" applyFill="1" applyBorder="1" applyProtection="1">
      <protection hidden="1"/>
    </xf>
    <xf numFmtId="0" fontId="18" fillId="40" borderId="48" xfId="2" applyNumberFormat="1" applyFont="1" applyFill="1" applyBorder="1" applyAlignment="1" applyProtection="1">
      <alignment vertical="center" wrapText="1"/>
      <protection hidden="1"/>
    </xf>
    <xf numFmtId="0" fontId="1" fillId="40" borderId="52" xfId="0" applyFont="1" applyFill="1" applyBorder="1" applyAlignment="1" applyProtection="1">
      <alignment horizontal="center"/>
      <protection hidden="1"/>
    </xf>
    <xf numFmtId="0" fontId="19" fillId="40" borderId="0" xfId="2" applyNumberFormat="1" applyFont="1" applyFill="1" applyBorder="1" applyAlignment="1" applyProtection="1">
      <alignment vertical="center" wrapText="1"/>
      <protection hidden="1"/>
    </xf>
    <xf numFmtId="0" fontId="19" fillId="40" borderId="0" xfId="2" applyNumberFormat="1" applyFont="1" applyFill="1" applyBorder="1" applyAlignment="1" applyProtection="1">
      <protection hidden="1"/>
    </xf>
    <xf numFmtId="0" fontId="1" fillId="40" borderId="31" xfId="0" applyFont="1" applyFill="1" applyBorder="1" applyProtection="1">
      <protection hidden="1"/>
    </xf>
    <xf numFmtId="20" fontId="1" fillId="40" borderId="0" xfId="0" applyNumberFormat="1" applyFont="1" applyFill="1" applyBorder="1" applyProtection="1">
      <protection hidden="1"/>
    </xf>
    <xf numFmtId="0" fontId="1" fillId="40" borderId="52" xfId="0" applyFont="1" applyFill="1" applyBorder="1" applyProtection="1">
      <protection hidden="1"/>
    </xf>
    <xf numFmtId="0" fontId="18" fillId="40" borderId="47" xfId="2" applyNumberFormat="1" applyFont="1" applyFill="1" applyBorder="1" applyAlignment="1" applyProtection="1">
      <alignment vertical="center" wrapText="1"/>
      <protection hidden="1"/>
    </xf>
    <xf numFmtId="0" fontId="1" fillId="40" borderId="51" xfId="0" applyFont="1" applyFill="1" applyBorder="1" applyProtection="1">
      <protection hidden="1"/>
    </xf>
    <xf numFmtId="164" fontId="1" fillId="40" borderId="0" xfId="0" applyNumberFormat="1" applyFont="1" applyFill="1" applyBorder="1" applyProtection="1">
      <protection hidden="1"/>
    </xf>
    <xf numFmtId="0" fontId="1" fillId="40" borderId="48" xfId="0" applyFont="1" applyFill="1" applyBorder="1" applyAlignment="1" applyProtection="1">
      <alignment horizontal="center"/>
      <protection hidden="1"/>
    </xf>
    <xf numFmtId="0" fontId="1" fillId="40" borderId="29" xfId="0" applyFont="1" applyFill="1" applyBorder="1" applyAlignment="1" applyProtection="1">
      <alignment horizontal="center"/>
      <protection hidden="1"/>
    </xf>
    <xf numFmtId="0" fontId="1" fillId="40" borderId="54" xfId="0" applyFont="1" applyFill="1" applyBorder="1" applyProtection="1">
      <protection hidden="1"/>
    </xf>
    <xf numFmtId="0" fontId="20" fillId="40" borderId="0" xfId="2" applyNumberFormat="1" applyFont="1" applyFill="1" applyBorder="1" applyAlignment="1" applyProtection="1">
      <protection hidden="1"/>
    </xf>
    <xf numFmtId="0" fontId="0" fillId="39" borderId="26" xfId="0" applyFill="1" applyBorder="1"/>
    <xf numFmtId="0" fontId="0" fillId="39" borderId="33" xfId="0" applyFill="1" applyBorder="1" applyAlignment="1">
      <alignment horizontal="left"/>
    </xf>
    <xf numFmtId="0" fontId="13" fillId="40" borderId="0" xfId="0" applyFont="1" applyFill="1" applyBorder="1" applyAlignment="1" applyProtection="1">
      <alignment horizontal="left" vertical="center"/>
      <protection hidden="1"/>
    </xf>
    <xf numFmtId="0" fontId="13" fillId="40" borderId="50" xfId="0" applyFont="1" applyFill="1" applyBorder="1" applyProtection="1">
      <protection hidden="1"/>
    </xf>
    <xf numFmtId="0" fontId="13" fillId="40" borderId="31" xfId="0" applyFont="1" applyFill="1" applyBorder="1" applyProtection="1">
      <protection hidden="1"/>
    </xf>
    <xf numFmtId="0" fontId="1" fillId="40" borderId="27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protection hidden="1"/>
    </xf>
    <xf numFmtId="0" fontId="13" fillId="39" borderId="31" xfId="0" applyFont="1" applyFill="1" applyBorder="1"/>
    <xf numFmtId="0" fontId="13" fillId="40" borderId="49" xfId="0" applyFont="1" applyFill="1" applyBorder="1" applyProtection="1">
      <protection hidden="1"/>
    </xf>
    <xf numFmtId="0" fontId="15" fillId="40" borderId="31" xfId="0" applyFont="1" applyFill="1" applyBorder="1" applyAlignment="1" applyProtection="1">
      <alignment horizontal="center"/>
      <protection hidden="1"/>
    </xf>
    <xf numFmtId="0" fontId="18" fillId="40" borderId="0" xfId="2" applyNumberFormat="1" applyFont="1" applyFill="1" applyBorder="1" applyAlignment="1" applyProtection="1">
      <alignment horizontal="center"/>
      <protection hidden="1"/>
    </xf>
    <xf numFmtId="20" fontId="1" fillId="40" borderId="0" xfId="0" applyNumberFormat="1" applyFont="1" applyFill="1" applyBorder="1" applyAlignment="1" applyProtection="1">
      <alignment horizontal="center"/>
      <protection hidden="1"/>
    </xf>
    <xf numFmtId="0" fontId="15" fillId="40" borderId="65" xfId="0" applyFont="1" applyFill="1" applyBorder="1" applyAlignment="1" applyProtection="1">
      <alignment horizontal="center"/>
      <protection hidden="1"/>
    </xf>
    <xf numFmtId="0" fontId="13" fillId="39" borderId="52" xfId="0" applyFont="1" applyFill="1" applyBorder="1"/>
    <xf numFmtId="0" fontId="1" fillId="40" borderId="47" xfId="0" applyFont="1" applyFill="1" applyBorder="1" applyAlignment="1" applyProtection="1">
      <protection hidden="1"/>
    </xf>
    <xf numFmtId="0" fontId="1" fillId="40" borderId="52" xfId="0" applyFont="1" applyFill="1" applyBorder="1" applyAlignment="1" applyProtection="1">
      <alignment horizontal="center" vertical="center"/>
      <protection hidden="1"/>
    </xf>
    <xf numFmtId="0" fontId="13" fillId="40" borderId="55" xfId="0" applyFont="1" applyFill="1" applyBorder="1" applyProtection="1">
      <protection hidden="1"/>
    </xf>
    <xf numFmtId="0" fontId="18" fillId="40" borderId="0" xfId="2" applyNumberFormat="1" applyFont="1" applyFill="1" applyBorder="1" applyAlignment="1" applyProtection="1">
      <alignment vertical="center" wrapText="1"/>
      <protection hidden="1"/>
    </xf>
    <xf numFmtId="0" fontId="13" fillId="39" borderId="0" xfId="0" applyFont="1" applyFill="1" applyBorder="1" applyAlignment="1">
      <alignment horizontal="center" vertical="center"/>
    </xf>
    <xf numFmtId="0" fontId="1" fillId="40" borderId="51" xfId="0" applyFont="1" applyFill="1" applyBorder="1" applyAlignment="1" applyProtection="1">
      <alignment horizontal="center"/>
      <protection hidden="1"/>
    </xf>
    <xf numFmtId="20" fontId="1" fillId="40" borderId="30" xfId="0" applyNumberFormat="1" applyFont="1" applyFill="1" applyBorder="1" applyProtection="1">
      <protection hidden="1"/>
    </xf>
    <xf numFmtId="0" fontId="13" fillId="40" borderId="52" xfId="0" applyFont="1" applyFill="1" applyBorder="1" applyProtection="1">
      <protection hidden="1"/>
    </xf>
    <xf numFmtId="0" fontId="1" fillId="40" borderId="28" xfId="0" applyFont="1" applyFill="1" applyBorder="1" applyAlignment="1" applyProtection="1">
      <alignment horizontal="center"/>
      <protection hidden="1"/>
    </xf>
    <xf numFmtId="0" fontId="1" fillId="40" borderId="34" xfId="0" applyFont="1" applyFill="1" applyBorder="1" applyAlignment="1" applyProtection="1">
      <alignment horizontal="center"/>
      <protection hidden="1"/>
    </xf>
    <xf numFmtId="0" fontId="19" fillId="40" borderId="30" xfId="2" applyNumberFormat="1" applyFont="1" applyFill="1" applyBorder="1" applyAlignment="1" applyProtection="1">
      <protection hidden="1"/>
    </xf>
    <xf numFmtId="0" fontId="1" fillId="40" borderId="31" xfId="0" applyFont="1" applyFill="1" applyBorder="1" applyAlignment="1" applyProtection="1">
      <alignment horizontal="left"/>
      <protection hidden="1"/>
    </xf>
    <xf numFmtId="0" fontId="19" fillId="40" borderId="49" xfId="2" applyNumberFormat="1" applyFont="1" applyFill="1" applyBorder="1" applyAlignment="1" applyProtection="1">
      <protection hidden="1"/>
    </xf>
    <xf numFmtId="0" fontId="13" fillId="39" borderId="50" xfId="0" applyFont="1" applyFill="1" applyBorder="1"/>
    <xf numFmtId="0" fontId="1" fillId="39" borderId="0" xfId="0" applyFont="1" applyFill="1" applyBorder="1"/>
    <xf numFmtId="20" fontId="1" fillId="40" borderId="50" xfId="0" applyNumberFormat="1" applyFont="1" applyFill="1" applyBorder="1" applyProtection="1">
      <protection hidden="1"/>
    </xf>
    <xf numFmtId="0" fontId="13" fillId="40" borderId="56" xfId="0" applyFont="1" applyFill="1" applyBorder="1" applyProtection="1">
      <protection hidden="1"/>
    </xf>
    <xf numFmtId="20" fontId="1" fillId="40" borderId="86" xfId="0" applyNumberFormat="1" applyFont="1" applyFill="1" applyBorder="1" applyAlignment="1" applyProtection="1">
      <alignment horizontal="center"/>
      <protection hidden="1"/>
    </xf>
    <xf numFmtId="20" fontId="1" fillId="40" borderId="8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12" borderId="44" xfId="1" applyFont="1" applyFill="1" applyBorder="1" applyAlignment="1" applyProtection="1">
      <alignment horizontal="center" vertical="center"/>
      <protection hidden="1"/>
    </xf>
    <xf numFmtId="0" fontId="28" fillId="30" borderId="44" xfId="1" applyFont="1" applyFill="1" applyBorder="1" applyAlignment="1" applyProtection="1">
      <alignment horizontal="center" vertical="center"/>
      <protection hidden="1"/>
    </xf>
    <xf numFmtId="0" fontId="28" fillId="27" borderId="44" xfId="1" applyFont="1" applyFill="1" applyBorder="1" applyAlignment="1" applyProtection="1">
      <alignment horizontal="center" vertical="center"/>
      <protection hidden="1"/>
    </xf>
    <xf numFmtId="0" fontId="28" fillId="23" borderId="44" xfId="1" applyFont="1" applyFill="1" applyBorder="1" applyAlignment="1" applyProtection="1">
      <alignment horizontal="center" vertical="center"/>
      <protection hidden="1"/>
    </xf>
    <xf numFmtId="0" fontId="4" fillId="22" borderId="44" xfId="1" applyFont="1" applyFill="1" applyBorder="1" applyAlignment="1" applyProtection="1">
      <alignment horizontal="center" vertical="center"/>
      <protection hidden="1"/>
    </xf>
    <xf numFmtId="0" fontId="28" fillId="19" borderId="44" xfId="1" applyFont="1" applyFill="1" applyBorder="1" applyAlignment="1" applyProtection="1">
      <alignment horizontal="center" vertical="center"/>
      <protection hidden="1"/>
    </xf>
    <xf numFmtId="0" fontId="28" fillId="16" borderId="44" xfId="1" applyFont="1" applyFill="1" applyBorder="1" applyAlignment="1" applyProtection="1">
      <alignment horizontal="center" vertical="center"/>
      <protection hidden="1"/>
    </xf>
    <xf numFmtId="0" fontId="28" fillId="3" borderId="44" xfId="1" applyFont="1" applyFill="1" applyBorder="1" applyAlignment="1" applyProtection="1">
      <alignment horizontal="center" vertical="center"/>
      <protection hidden="1"/>
    </xf>
    <xf numFmtId="0" fontId="26" fillId="32" borderId="74" xfId="0" applyFont="1" applyFill="1" applyBorder="1" applyAlignment="1">
      <alignment horizontal="center"/>
    </xf>
    <xf numFmtId="0" fontId="26" fillId="32" borderId="75" xfId="0" applyFont="1" applyFill="1" applyBorder="1" applyAlignment="1">
      <alignment horizontal="center"/>
    </xf>
    <xf numFmtId="0" fontId="26" fillId="32" borderId="74" xfId="0" applyFont="1" applyFill="1" applyBorder="1" applyAlignment="1">
      <alignment horizontal="left"/>
    </xf>
    <xf numFmtId="0" fontId="26" fillId="32" borderId="75" xfId="0" applyFont="1" applyFill="1" applyBorder="1" applyAlignment="1">
      <alignment horizontal="left"/>
    </xf>
    <xf numFmtId="0" fontId="24" fillId="39" borderId="73" xfId="0" applyFont="1" applyFill="1" applyBorder="1" applyAlignment="1">
      <alignment horizontal="center"/>
    </xf>
    <xf numFmtId="0" fontId="24" fillId="39" borderId="64" xfId="0" applyFont="1" applyFill="1" applyBorder="1" applyAlignment="1">
      <alignment horizontal="center"/>
    </xf>
    <xf numFmtId="0" fontId="23" fillId="0" borderId="28" xfId="0" applyFont="1" applyBorder="1" applyAlignment="1">
      <alignment horizontal="left" wrapText="1"/>
    </xf>
    <xf numFmtId="0" fontId="23" fillId="0" borderId="29" xfId="0" applyFont="1" applyBorder="1" applyAlignment="1">
      <alignment horizontal="left" wrapText="1"/>
    </xf>
    <xf numFmtId="0" fontId="23" fillId="0" borderId="76" xfId="0" applyFont="1" applyBorder="1" applyAlignment="1">
      <alignment horizontal="left" wrapText="1"/>
    </xf>
    <xf numFmtId="0" fontId="23" fillId="0" borderId="72" xfId="0" applyFont="1" applyBorder="1" applyAlignment="1">
      <alignment horizontal="left" wrapText="1"/>
    </xf>
    <xf numFmtId="0" fontId="26" fillId="0" borderId="74" xfId="0" applyFont="1" applyFill="1" applyBorder="1" applyAlignment="1">
      <alignment horizontal="left"/>
    </xf>
    <xf numFmtId="0" fontId="26" fillId="0" borderId="75" xfId="0" applyFont="1" applyFill="1" applyBorder="1" applyAlignment="1">
      <alignment horizontal="left"/>
    </xf>
    <xf numFmtId="0" fontId="23" fillId="0" borderId="32" xfId="0" applyFont="1" applyBorder="1" applyAlignment="1">
      <alignment horizontal="left" indent="4"/>
    </xf>
    <xf numFmtId="0" fontId="23" fillId="0" borderId="33" xfId="0" applyFont="1" applyBorder="1" applyAlignment="1">
      <alignment horizontal="left" indent="4"/>
    </xf>
    <xf numFmtId="0" fontId="23" fillId="0" borderId="77" xfId="0" applyFont="1" applyBorder="1" applyAlignment="1">
      <alignment horizontal="left"/>
    </xf>
    <xf numFmtId="0" fontId="23" fillId="0" borderId="71" xfId="0" applyFont="1" applyBorder="1" applyAlignment="1">
      <alignment horizontal="left"/>
    </xf>
    <xf numFmtId="0" fontId="23" fillId="0" borderId="30" xfId="0" applyFont="1" applyBorder="1" applyAlignment="1">
      <alignment horizontal="left" vertical="center" indent="4"/>
    </xf>
    <xf numFmtId="0" fontId="23" fillId="0" borderId="31" xfId="0" applyFont="1" applyBorder="1" applyAlignment="1">
      <alignment horizontal="left" vertical="center" indent="4"/>
    </xf>
    <xf numFmtId="0" fontId="23" fillId="0" borderId="30" xfId="0" applyFont="1" applyBorder="1" applyAlignment="1">
      <alignment horizontal="left" indent="4"/>
    </xf>
    <xf numFmtId="0" fontId="23" fillId="0" borderId="31" xfId="0" applyFont="1" applyBorder="1" applyAlignment="1">
      <alignment horizontal="left" indent="4"/>
    </xf>
    <xf numFmtId="0" fontId="23" fillId="0" borderId="28" xfId="0" applyFont="1" applyBorder="1" applyAlignment="1">
      <alignment horizontal="left" vertical="center" wrapText="1"/>
    </xf>
    <xf numFmtId="0" fontId="23" fillId="0" borderId="29" xfId="0" applyFont="1" applyBorder="1" applyAlignment="1">
      <alignment horizontal="left" vertical="center" wrapText="1"/>
    </xf>
    <xf numFmtId="0" fontId="23" fillId="0" borderId="76" xfId="0" applyFont="1" applyBorder="1" applyAlignment="1">
      <alignment horizontal="left" vertical="center" wrapText="1"/>
    </xf>
    <xf numFmtId="0" fontId="23" fillId="0" borderId="72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2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5" fillId="0" borderId="28" xfId="0" applyFont="1" applyBorder="1" applyAlignment="1">
      <alignment horizontal="left" vertical="center" wrapText="1"/>
    </xf>
    <xf numFmtId="0" fontId="25" fillId="0" borderId="29" xfId="0" applyFont="1" applyBorder="1" applyAlignment="1">
      <alignment horizontal="left" vertical="center" wrapText="1"/>
    </xf>
    <xf numFmtId="0" fontId="25" fillId="0" borderId="76" xfId="0" applyFont="1" applyBorder="1" applyAlignment="1">
      <alignment horizontal="left" vertical="center" wrapText="1"/>
    </xf>
    <xf numFmtId="0" fontId="25" fillId="0" borderId="72" xfId="0" applyFont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indent="3"/>
    </xf>
    <xf numFmtId="0" fontId="23" fillId="0" borderId="14" xfId="0" applyFont="1" applyBorder="1" applyAlignment="1">
      <alignment horizontal="left" indent="3"/>
    </xf>
    <xf numFmtId="0" fontId="23" fillId="0" borderId="30" xfId="0" applyFont="1" applyFill="1" applyBorder="1" applyAlignment="1">
      <alignment horizontal="left" vertical="center" wrapText="1" indent="14"/>
    </xf>
    <xf numFmtId="0" fontId="23" fillId="0" borderId="31" xfId="0" applyFont="1" applyFill="1" applyBorder="1" applyAlignment="1">
      <alignment horizontal="left" vertical="center" wrapText="1" indent="14"/>
    </xf>
    <xf numFmtId="0" fontId="23" fillId="0" borderId="11" xfId="0" applyFont="1" applyFill="1" applyBorder="1" applyAlignment="1">
      <alignment horizontal="left" vertical="center" wrapText="1" indent="3"/>
    </xf>
    <xf numFmtId="0" fontId="23" fillId="0" borderId="12" xfId="0" applyFont="1" applyFill="1" applyBorder="1" applyAlignment="1">
      <alignment horizontal="left" vertical="center" wrapText="1" indent="3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36" borderId="3" xfId="0" applyFont="1" applyFill="1" applyBorder="1" applyAlignment="1" applyProtection="1">
      <alignment horizontal="center" vertical="center"/>
      <protection hidden="1"/>
    </xf>
    <xf numFmtId="0" fontId="6" fillId="36" borderId="12" xfId="0" applyFont="1" applyFill="1" applyBorder="1" applyAlignment="1" applyProtection="1">
      <alignment horizontal="center" vertical="center"/>
      <protection hidden="1"/>
    </xf>
    <xf numFmtId="0" fontId="6" fillId="36" borderId="6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locked="0"/>
    </xf>
    <xf numFmtId="0" fontId="0" fillId="36" borderId="7" xfId="0" applyFont="1" applyFill="1" applyBorder="1" applyAlignment="1" applyProtection="1">
      <alignment horizontal="center" vertical="center"/>
      <protection hidden="1"/>
    </xf>
    <xf numFmtId="0" fontId="0" fillId="36" borderId="5" xfId="0" applyFont="1" applyFill="1" applyBorder="1" applyAlignment="1" applyProtection="1">
      <alignment horizontal="center" vertical="center"/>
      <protection hidden="1"/>
    </xf>
    <xf numFmtId="0" fontId="22" fillId="35" borderId="40" xfId="1" applyFont="1" applyFill="1" applyBorder="1" applyAlignment="1" applyProtection="1">
      <alignment horizontal="left" vertical="center"/>
      <protection hidden="1"/>
    </xf>
    <xf numFmtId="0" fontId="22" fillId="35" borderId="7" xfId="1" applyFont="1" applyFill="1" applyBorder="1" applyAlignment="1" applyProtection="1">
      <alignment horizontal="center" vertical="center"/>
      <protection hidden="1"/>
    </xf>
    <xf numFmtId="0" fontId="30" fillId="5" borderId="1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30" fillId="5" borderId="5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2" fillId="35" borderId="12" xfId="1" applyFont="1" applyFill="1" applyBorder="1" applyAlignment="1" applyProtection="1">
      <alignment horizontal="center" vertical="center"/>
      <protection hidden="1"/>
    </xf>
    <xf numFmtId="0" fontId="28" fillId="3" borderId="13" xfId="1" applyFont="1" applyFill="1" applyBorder="1" applyAlignment="1" applyProtection="1">
      <alignment horizontal="center" vertical="center"/>
      <protection hidden="1"/>
    </xf>
    <xf numFmtId="0" fontId="28" fillId="3" borderId="14" xfId="1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22" fillId="35" borderId="1" xfId="1" applyNumberFormat="1" applyFont="1" applyFill="1" applyBorder="1" applyAlignment="1" applyProtection="1">
      <alignment horizontal="center" vertical="center"/>
      <protection hidden="1"/>
    </xf>
    <xf numFmtId="14" fontId="22" fillId="35" borderId="11" xfId="1" applyNumberFormat="1" applyFont="1" applyFill="1" applyBorder="1" applyAlignment="1" applyProtection="1">
      <alignment horizontal="center" vertical="center"/>
      <protection hidden="1"/>
    </xf>
    <xf numFmtId="20" fontId="22" fillId="35" borderId="2" xfId="1" applyNumberFormat="1" applyFont="1" applyFill="1" applyBorder="1" applyAlignment="1" applyProtection="1">
      <alignment horizontal="center" vertical="center"/>
      <protection hidden="1"/>
    </xf>
    <xf numFmtId="20" fontId="22" fillId="35" borderId="7" xfId="1" applyNumberFormat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right" vertical="center" wrapText="1" indent="1"/>
      <protection hidden="1"/>
    </xf>
    <xf numFmtId="0" fontId="1" fillId="6" borderId="88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0" fillId="36" borderId="3" xfId="0" applyFont="1" applyFill="1" applyBorder="1" applyAlignment="1" applyProtection="1">
      <alignment horizontal="center" vertical="center"/>
      <protection hidden="1"/>
    </xf>
    <xf numFmtId="0" fontId="0" fillId="36" borderId="12" xfId="0" applyFont="1" applyFill="1" applyBorder="1" applyAlignment="1" applyProtection="1">
      <alignment horizontal="center" vertical="center"/>
      <protection hidden="1"/>
    </xf>
    <xf numFmtId="0" fontId="0" fillId="36" borderId="2" xfId="0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/>
      <protection hidden="1"/>
    </xf>
    <xf numFmtId="0" fontId="0" fillId="36" borderId="5" xfId="0" applyFont="1" applyFill="1" applyBorder="1" applyAlignment="1" applyProtection="1">
      <alignment horizontal="center"/>
      <protection hidden="1"/>
    </xf>
    <xf numFmtId="0" fontId="1" fillId="6" borderId="35" xfId="0" applyFont="1" applyFill="1" applyBorder="1" applyAlignment="1">
      <alignment horizontal="center"/>
    </xf>
    <xf numFmtId="0" fontId="0" fillId="36" borderId="6" xfId="0" applyFont="1" applyFill="1" applyBorder="1" applyAlignment="1" applyProtection="1">
      <alignment horizontal="center" vertical="center"/>
      <protection hidden="1"/>
    </xf>
    <xf numFmtId="0" fontId="22" fillId="35" borderId="44" xfId="1" applyFont="1" applyFill="1" applyBorder="1" applyAlignment="1" applyProtection="1">
      <alignment horizontal="left" vertical="center"/>
      <protection hidden="1"/>
    </xf>
    <xf numFmtId="0" fontId="22" fillId="35" borderId="13" xfId="1" applyFont="1" applyFill="1" applyBorder="1" applyAlignment="1" applyProtection="1">
      <alignment horizontal="center" vertical="center"/>
      <protection hidden="1"/>
    </xf>
    <xf numFmtId="0" fontId="22" fillId="35" borderId="14" xfId="1" applyFont="1" applyFill="1" applyBorder="1" applyAlignment="1" applyProtection="1">
      <alignment horizontal="center" vertical="center"/>
      <protection hidden="1"/>
    </xf>
    <xf numFmtId="0" fontId="0" fillId="0" borderId="7" xfId="0" applyFont="1" applyFill="1" applyBorder="1" applyAlignment="1" applyProtection="1">
      <alignment horizontal="center" vertical="center"/>
      <protection hidden="1"/>
    </xf>
    <xf numFmtId="0" fontId="0" fillId="0" borderId="12" xfId="0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29" fillId="4" borderId="1" xfId="1" applyFont="1" applyFill="1" applyBorder="1" applyAlignment="1" applyProtection="1">
      <alignment horizontal="left" vertical="center"/>
      <protection hidden="1"/>
    </xf>
    <xf numFmtId="0" fontId="29" fillId="4" borderId="11" xfId="1" applyFont="1" applyFill="1" applyBorder="1" applyAlignment="1" applyProtection="1">
      <alignment horizontal="left" vertical="center"/>
      <protection hidden="1"/>
    </xf>
    <xf numFmtId="0" fontId="29" fillId="4" borderId="15" xfId="1" applyFont="1" applyFill="1" applyBorder="1" applyAlignment="1" applyProtection="1">
      <alignment horizontal="left" vertical="center"/>
      <protection hidden="1"/>
    </xf>
    <xf numFmtId="0" fontId="29" fillId="4" borderId="8" xfId="1" applyFont="1" applyFill="1" applyBorder="1" applyAlignment="1" applyProtection="1">
      <alignment horizontal="left" vertical="center"/>
      <protection hidden="1"/>
    </xf>
    <xf numFmtId="0" fontId="0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ont="1" applyFill="1" applyBorder="1" applyAlignment="1" applyProtection="1">
      <alignment horizontal="center" vertical="center"/>
      <protection hidden="1"/>
    </xf>
    <xf numFmtId="0" fontId="0" fillId="0" borderId="3" xfId="0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right" vertical="center" wrapText="1" indent="1"/>
      <protection hidden="1"/>
    </xf>
    <xf numFmtId="0" fontId="22" fillId="35" borderId="2" xfId="1" applyFont="1" applyFill="1" applyBorder="1" applyAlignment="1" applyProtection="1">
      <alignment horizontal="right" vertical="center" wrapText="1" indent="1"/>
      <protection hidden="1"/>
    </xf>
    <xf numFmtId="0" fontId="10" fillId="9" borderId="28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2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14" fontId="22" fillId="35" borderId="4" xfId="1" applyNumberFormat="1" applyFont="1" applyFill="1" applyBorder="1" applyAlignment="1" applyProtection="1">
      <alignment horizontal="center" vertical="center"/>
      <protection hidden="1"/>
    </xf>
    <xf numFmtId="20" fontId="22" fillId="35" borderId="5" xfId="1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/>
      <protection hidden="1"/>
    </xf>
    <xf numFmtId="0" fontId="22" fillId="35" borderId="7" xfId="1" applyFont="1" applyFill="1" applyBorder="1" applyAlignment="1" applyProtection="1">
      <alignment horizontal="center" vertical="center" wrapText="1"/>
      <protection hidden="1"/>
    </xf>
    <xf numFmtId="0" fontId="29" fillId="35" borderId="7" xfId="1" applyFont="1" applyFill="1" applyBorder="1" applyAlignment="1" applyProtection="1">
      <alignment horizontal="center" vertical="center"/>
      <protection hidden="1"/>
    </xf>
    <xf numFmtId="0" fontId="31" fillId="10" borderId="1" xfId="0" applyFont="1" applyFill="1" applyBorder="1" applyAlignment="1">
      <alignment horizontal="center" vertical="center"/>
    </xf>
    <xf numFmtId="0" fontId="31" fillId="10" borderId="2" xfId="0" applyFont="1" applyFill="1" applyBorder="1" applyAlignment="1">
      <alignment horizontal="center" vertical="center"/>
    </xf>
    <xf numFmtId="0" fontId="31" fillId="10" borderId="3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88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8" fillId="12" borderId="13" xfId="1" applyFont="1" applyFill="1" applyBorder="1" applyAlignment="1" applyProtection="1">
      <alignment horizontal="center" vertical="center"/>
      <protection hidden="1"/>
    </xf>
    <xf numFmtId="0" fontId="28" fillId="12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/>
      <protection hidden="1"/>
    </xf>
    <xf numFmtId="14" fontId="0" fillId="35" borderId="11" xfId="0" applyNumberFormat="1" applyFont="1" applyFill="1" applyBorder="1" applyAlignment="1" applyProtection="1">
      <alignment horizontal="center" vertical="center"/>
      <protection hidden="1"/>
    </xf>
    <xf numFmtId="20" fontId="0" fillId="35" borderId="2" xfId="0" applyNumberFormat="1" applyFont="1" applyFill="1" applyBorder="1" applyAlignment="1" applyProtection="1">
      <alignment horizontal="center" vertical="center"/>
      <protection hidden="1"/>
    </xf>
    <xf numFmtId="20" fontId="0" fillId="35" borderId="7" xfId="0" applyNumberFormat="1" applyFont="1" applyFill="1" applyBorder="1" applyAlignment="1" applyProtection="1">
      <alignment horizontal="center" vertical="center"/>
      <protection hidden="1"/>
    </xf>
    <xf numFmtId="0" fontId="0" fillId="35" borderId="2" xfId="0" applyFont="1" applyFill="1" applyBorder="1" applyAlignment="1" applyProtection="1">
      <alignment horizontal="center" vertical="center" wrapText="1"/>
      <protection hidden="1"/>
    </xf>
    <xf numFmtId="0" fontId="0" fillId="35" borderId="7" xfId="0" applyFont="1" applyFill="1" applyBorder="1" applyAlignment="1" applyProtection="1">
      <alignment horizontal="center" vertical="center" wrapText="1"/>
      <protection hidden="1"/>
    </xf>
    <xf numFmtId="0" fontId="0" fillId="35" borderId="2" xfId="0" applyFont="1" applyFill="1" applyBorder="1" applyAlignment="1" applyProtection="1">
      <alignment horizontal="right" vertical="center" wrapText="1" indent="1"/>
      <protection hidden="1"/>
    </xf>
    <xf numFmtId="0" fontId="0" fillId="35" borderId="7" xfId="0" applyFont="1" applyFill="1" applyBorder="1" applyAlignment="1" applyProtection="1">
      <alignment horizontal="right" vertical="center" wrapText="1" indent="1"/>
      <protection hidden="1"/>
    </xf>
    <xf numFmtId="0" fontId="29" fillId="35" borderId="40" xfId="1" applyFont="1" applyFill="1" applyBorder="1" applyAlignment="1" applyProtection="1">
      <alignment horizontal="left" vertical="center"/>
      <protection hidden="1"/>
    </xf>
    <xf numFmtId="0" fontId="0" fillId="0" borderId="18" xfId="0" applyFont="1" applyFill="1" applyBorder="1" applyAlignment="1" applyProtection="1">
      <alignment horizontal="center" vertical="center"/>
      <protection hidden="1"/>
    </xf>
    <xf numFmtId="0" fontId="0" fillId="0" borderId="9" xfId="0" applyFont="1" applyFill="1" applyBorder="1" applyAlignment="1" applyProtection="1">
      <alignment horizontal="center" vertical="center"/>
      <protection hidden="1"/>
    </xf>
    <xf numFmtId="0" fontId="29" fillId="35" borderId="12" xfId="1" applyFont="1" applyFill="1" applyBorder="1" applyAlignment="1" applyProtection="1">
      <alignment horizontal="center" vertical="center"/>
      <protection hidden="1"/>
    </xf>
    <xf numFmtId="0" fontId="29" fillId="35" borderId="13" xfId="1" applyFont="1" applyFill="1" applyBorder="1" applyAlignment="1" applyProtection="1">
      <alignment horizontal="center" vertical="center"/>
      <protection hidden="1"/>
    </xf>
    <xf numFmtId="0" fontId="1" fillId="11" borderId="35" xfId="0" applyFont="1" applyFill="1" applyBorder="1" applyAlignment="1" applyProtection="1">
      <alignment horizontal="center"/>
      <protection hidden="1"/>
    </xf>
    <xf numFmtId="0" fontId="0" fillId="0" borderId="67" xfId="0" applyFont="1" applyFill="1" applyBorder="1" applyAlignment="1" applyProtection="1">
      <alignment horizontal="center" vertical="center"/>
      <protection hidden="1"/>
    </xf>
    <xf numFmtId="0" fontId="29" fillId="35" borderId="14" xfId="1" applyFont="1" applyFill="1" applyBorder="1" applyAlignment="1" applyProtection="1">
      <alignment horizontal="center" vertical="center"/>
      <protection hidden="1"/>
    </xf>
    <xf numFmtId="0" fontId="29" fillId="35" borderId="44" xfId="1" applyFont="1" applyFill="1" applyBorder="1" applyAlignment="1" applyProtection="1">
      <alignment horizontal="left" vertical="center"/>
      <protection hidden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/>
      <protection hidden="1"/>
    </xf>
    <xf numFmtId="0" fontId="22" fillId="35" borderId="5" xfId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right" vertical="center" wrapText="1" indent="1"/>
      <protection hidden="1"/>
    </xf>
    <xf numFmtId="0" fontId="31" fillId="14" borderId="1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14" borderId="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88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28" fillId="16" borderId="13" xfId="1" applyFont="1" applyFill="1" applyBorder="1" applyAlignment="1" applyProtection="1">
      <alignment horizontal="center" vertical="center"/>
      <protection hidden="1"/>
    </xf>
    <xf numFmtId="0" fontId="28" fillId="16" borderId="14" xfId="1" applyFont="1" applyFill="1" applyBorder="1" applyAlignment="1" applyProtection="1">
      <alignment horizontal="center" vertical="center"/>
      <protection hidden="1"/>
    </xf>
    <xf numFmtId="14" fontId="0" fillId="35" borderId="1" xfId="0" applyNumberFormat="1" applyFont="1" applyFill="1" applyBorder="1" applyAlignment="1" applyProtection="1">
      <alignment horizontal="center" vertical="center" wrapText="1"/>
      <protection hidden="1"/>
    </xf>
    <xf numFmtId="14" fontId="0" fillId="35" borderId="11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2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7" xfId="0" applyNumberFormat="1" applyFont="1" applyFill="1" applyBorder="1" applyAlignment="1" applyProtection="1">
      <alignment horizontal="center" vertical="center" wrapText="1"/>
      <protection hidden="1"/>
    </xf>
    <xf numFmtId="0" fontId="1" fillId="15" borderId="35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4" fontId="0" fillId="35" borderId="4" xfId="0" applyNumberFormat="1" applyFont="1" applyFill="1" applyBorder="1" applyAlignment="1" applyProtection="1">
      <alignment horizontal="center" vertical="center" wrapText="1"/>
      <protection hidden="1"/>
    </xf>
    <xf numFmtId="20" fontId="0" fillId="3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35" borderId="5" xfId="0" applyFont="1" applyFill="1" applyBorder="1" applyAlignment="1" applyProtection="1">
      <alignment horizontal="center" vertical="center" wrapText="1"/>
      <protection hidden="1"/>
    </xf>
    <xf numFmtId="0" fontId="31" fillId="17" borderId="1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88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28" fillId="19" borderId="13" xfId="1" applyFont="1" applyFill="1" applyBorder="1" applyAlignment="1" applyProtection="1">
      <alignment horizontal="center" vertical="center"/>
      <protection hidden="1"/>
    </xf>
    <xf numFmtId="0" fontId="28" fillId="19" borderId="14" xfId="1" applyFont="1" applyFill="1" applyBorder="1" applyAlignment="1" applyProtection="1">
      <alignment horizontal="center" vertical="center"/>
      <protection hidden="1"/>
    </xf>
    <xf numFmtId="0" fontId="17" fillId="35" borderId="7" xfId="1" applyFont="1" applyFill="1" applyBorder="1" applyAlignment="1" applyProtection="1">
      <alignment horizontal="center" vertical="center"/>
      <protection hidden="1"/>
    </xf>
    <xf numFmtId="0" fontId="1" fillId="18" borderId="35" xfId="0" applyFont="1" applyFill="1" applyBorder="1" applyAlignment="1">
      <alignment horizontal="center"/>
    </xf>
    <xf numFmtId="0" fontId="17" fillId="35" borderId="13" xfId="1" applyFont="1" applyFill="1" applyBorder="1" applyAlignment="1" applyProtection="1">
      <alignment horizontal="center" vertical="center"/>
      <protection hidden="1"/>
    </xf>
    <xf numFmtId="0" fontId="0" fillId="36" borderId="9" xfId="0" applyFont="1" applyFill="1" applyBorder="1" applyAlignment="1" applyProtection="1">
      <alignment horizontal="center" vertical="center"/>
      <protection hidden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5" fillId="18" borderId="11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5" fillId="18" borderId="4" xfId="0" applyFont="1" applyFill="1" applyBorder="1" applyAlignment="1">
      <alignment horizontal="center" vertical="center" wrapText="1"/>
    </xf>
    <xf numFmtId="0" fontId="5" fillId="18" borderId="5" xfId="0" applyFont="1" applyFill="1" applyBorder="1" applyAlignment="1">
      <alignment horizontal="center" vertical="center" wrapText="1"/>
    </xf>
    <xf numFmtId="20" fontId="0" fillId="35" borderId="5" xfId="0" applyNumberFormat="1" applyFont="1" applyFill="1" applyBorder="1" applyAlignment="1" applyProtection="1">
      <alignment horizontal="center" vertical="center"/>
      <protection hidden="1"/>
    </xf>
    <xf numFmtId="0" fontId="31" fillId="20" borderId="1" xfId="0" applyFont="1" applyFill="1" applyBorder="1" applyAlignment="1">
      <alignment horizontal="center" vertical="center"/>
    </xf>
    <xf numFmtId="0" fontId="31" fillId="20" borderId="2" xfId="0" applyFont="1" applyFill="1" applyBorder="1" applyAlignment="1">
      <alignment horizontal="center" vertical="center"/>
    </xf>
    <xf numFmtId="0" fontId="31" fillId="20" borderId="3" xfId="0" applyFont="1" applyFill="1" applyBorder="1" applyAlignment="1">
      <alignment horizontal="center" vertical="center"/>
    </xf>
    <xf numFmtId="0" fontId="31" fillId="20" borderId="4" xfId="0" applyFont="1" applyFill="1" applyBorder="1" applyAlignment="1">
      <alignment horizontal="center" vertical="center"/>
    </xf>
    <xf numFmtId="0" fontId="31" fillId="20" borderId="5" xfId="0" applyFont="1" applyFill="1" applyBorder="1" applyAlignment="1">
      <alignment horizontal="center" vertical="center"/>
    </xf>
    <xf numFmtId="0" fontId="31" fillId="20" borderId="6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88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4" fillId="22" borderId="13" xfId="1" applyFont="1" applyFill="1" applyBorder="1" applyAlignment="1" applyProtection="1">
      <alignment horizontal="center" vertical="center"/>
      <protection hidden="1"/>
    </xf>
    <xf numFmtId="0" fontId="4" fillId="22" borderId="14" xfId="1" applyFont="1" applyFill="1" applyBorder="1" applyAlignment="1" applyProtection="1">
      <alignment horizontal="center" vertical="center"/>
      <protection hidden="1"/>
    </xf>
    <xf numFmtId="0" fontId="1" fillId="21" borderId="35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7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21" borderId="5" xfId="0" applyFont="1" applyFill="1" applyBorder="1" applyAlignment="1">
      <alignment horizontal="center" vertical="center" wrapText="1"/>
    </xf>
    <xf numFmtId="0" fontId="31" fillId="25" borderId="1" xfId="0" applyFont="1" applyFill="1" applyBorder="1" applyAlignment="1">
      <alignment horizontal="center" vertical="center"/>
    </xf>
    <xf numFmtId="0" fontId="31" fillId="25" borderId="2" xfId="0" applyFont="1" applyFill="1" applyBorder="1" applyAlignment="1">
      <alignment horizontal="center" vertical="center"/>
    </xf>
    <xf numFmtId="0" fontId="31" fillId="25" borderId="3" xfId="0" applyFont="1" applyFill="1" applyBorder="1" applyAlignment="1">
      <alignment horizontal="center" vertical="center"/>
    </xf>
    <xf numFmtId="0" fontId="31" fillId="25" borderId="4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5" borderId="6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88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28" fillId="23" borderId="13" xfId="1" applyFont="1" applyFill="1" applyBorder="1" applyAlignment="1" applyProtection="1">
      <alignment horizontal="center" vertical="center"/>
      <protection hidden="1"/>
    </xf>
    <xf numFmtId="0" fontId="28" fillId="23" borderId="14" xfId="1" applyFont="1" applyFill="1" applyBorder="1" applyAlignment="1" applyProtection="1">
      <alignment horizontal="center" vertical="center"/>
      <protection hidden="1"/>
    </xf>
    <xf numFmtId="0" fontId="22" fillId="35" borderId="2" xfId="1" applyFont="1" applyFill="1" applyBorder="1" applyAlignment="1" applyProtection="1">
      <alignment horizontal="center" vertical="center" wrapText="1"/>
      <protection hidden="1"/>
    </xf>
    <xf numFmtId="0" fontId="32" fillId="35" borderId="7" xfId="1" applyFont="1" applyFill="1" applyBorder="1" applyAlignment="1" applyProtection="1">
      <alignment horizontal="center" vertical="center"/>
      <protection hidden="1"/>
    </xf>
    <xf numFmtId="0" fontId="1" fillId="24" borderId="35" xfId="0" applyFont="1" applyFill="1" applyBorder="1" applyAlignment="1">
      <alignment horizontal="center"/>
    </xf>
    <xf numFmtId="0" fontId="32" fillId="35" borderId="13" xfId="1" applyFont="1" applyFill="1" applyBorder="1" applyAlignment="1" applyProtection="1">
      <alignment horizontal="center" vertical="center"/>
      <protection hidden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5" fillId="24" borderId="7" xfId="0" applyFont="1" applyFill="1" applyBorder="1" applyAlignment="1">
      <alignment horizontal="center" vertical="center" wrapText="1"/>
    </xf>
    <xf numFmtId="0" fontId="5" fillId="24" borderId="4" xfId="0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26" borderId="3" xfId="0" applyFont="1" applyFill="1" applyBorder="1" applyAlignment="1">
      <alignment horizontal="center"/>
    </xf>
    <xf numFmtId="0" fontId="1" fillId="26" borderId="88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28" fillId="27" borderId="13" xfId="1" applyFont="1" applyFill="1" applyBorder="1" applyAlignment="1" applyProtection="1">
      <alignment horizontal="center" vertical="center"/>
      <protection hidden="1"/>
    </xf>
    <xf numFmtId="0" fontId="28" fillId="27" borderId="14" xfId="1" applyFont="1" applyFill="1" applyBorder="1" applyAlignment="1" applyProtection="1">
      <alignment horizontal="center" vertical="center"/>
      <protection hidden="1"/>
    </xf>
    <xf numFmtId="0" fontId="1" fillId="26" borderId="35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 vertical="center" wrapText="1"/>
    </xf>
    <xf numFmtId="0" fontId="5" fillId="26" borderId="2" xfId="0" applyFont="1" applyFill="1" applyBorder="1" applyAlignment="1">
      <alignment horizontal="center" vertical="center" wrapText="1"/>
    </xf>
    <xf numFmtId="0" fontId="5" fillId="26" borderId="11" xfId="0" applyFont="1" applyFill="1" applyBorder="1" applyAlignment="1">
      <alignment horizontal="center" vertical="center" wrapText="1"/>
    </xf>
    <xf numFmtId="0" fontId="5" fillId="26" borderId="7" xfId="0" applyFont="1" applyFill="1" applyBorder="1" applyAlignment="1">
      <alignment horizontal="center" vertical="center" wrapText="1"/>
    </xf>
    <xf numFmtId="0" fontId="5" fillId="26" borderId="4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/>
    </xf>
    <xf numFmtId="0" fontId="31" fillId="28" borderId="4" xfId="0" applyFont="1" applyFill="1" applyBorder="1" applyAlignment="1">
      <alignment horizontal="center" vertical="center"/>
    </xf>
    <xf numFmtId="0" fontId="31" fillId="28" borderId="5" xfId="0" applyFont="1" applyFill="1" applyBorder="1" applyAlignment="1">
      <alignment horizontal="center" vertical="center"/>
    </xf>
    <xf numFmtId="0" fontId="31" fillId="28" borderId="6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/>
    </xf>
    <xf numFmtId="0" fontId="1" fillId="29" borderId="2" xfId="0" applyFont="1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1" fillId="29" borderId="88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20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28" fillId="30" borderId="13" xfId="1" applyFont="1" applyFill="1" applyBorder="1" applyAlignment="1" applyProtection="1">
      <alignment horizontal="center" vertical="center"/>
      <protection hidden="1"/>
    </xf>
    <xf numFmtId="0" fontId="28" fillId="30" borderId="14" xfId="1" applyFont="1" applyFill="1" applyBorder="1" applyAlignment="1" applyProtection="1">
      <alignment horizontal="center" vertical="center"/>
      <protection hidden="1"/>
    </xf>
    <xf numFmtId="0" fontId="1" fillId="29" borderId="35" xfId="0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5" fillId="29" borderId="11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5" fillId="29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horizontal="center" vertical="center" wrapText="1"/>
    </xf>
    <xf numFmtId="0" fontId="8" fillId="40" borderId="0" xfId="0" applyFont="1" applyFill="1" applyBorder="1" applyAlignment="1" applyProtection="1">
      <alignment horizontal="center"/>
      <protection hidden="1"/>
    </xf>
    <xf numFmtId="0" fontId="9" fillId="40" borderId="0" xfId="0" applyFont="1" applyFill="1" applyBorder="1" applyAlignment="1" applyProtection="1">
      <alignment horizontal="center"/>
      <protection hidden="1"/>
    </xf>
    <xf numFmtId="0" fontId="13" fillId="34" borderId="45" xfId="0" applyFont="1" applyFill="1" applyBorder="1" applyAlignment="1" applyProtection="1">
      <alignment horizontal="center" vertical="center"/>
      <protection hidden="1"/>
    </xf>
    <xf numFmtId="0" fontId="13" fillId="34" borderId="46" xfId="0" applyFont="1" applyFill="1" applyBorder="1" applyAlignment="1" applyProtection="1">
      <alignment horizontal="center" vertical="center"/>
      <protection hidden="1"/>
    </xf>
    <xf numFmtId="0" fontId="1" fillId="40" borderId="0" xfId="0" applyFont="1" applyFill="1" applyBorder="1" applyAlignment="1" applyProtection="1">
      <alignment horizontal="center"/>
      <protection hidden="1"/>
    </xf>
    <xf numFmtId="0" fontId="1" fillId="40" borderId="55" xfId="0" applyFont="1" applyFill="1" applyBorder="1" applyAlignment="1" applyProtection="1">
      <alignment horizontal="center"/>
      <protection hidden="1"/>
    </xf>
    <xf numFmtId="0" fontId="1" fillId="40" borderId="47" xfId="0" applyFont="1" applyFill="1" applyBorder="1" applyAlignment="1" applyProtection="1">
      <alignment horizontal="center"/>
      <protection hidden="1"/>
    </xf>
    <xf numFmtId="0" fontId="1" fillId="40" borderId="31" xfId="0" applyFont="1" applyFill="1" applyBorder="1" applyAlignment="1" applyProtection="1">
      <alignment horizontal="center"/>
      <protection hidden="1"/>
    </xf>
    <xf numFmtId="0" fontId="1" fillId="40" borderId="51" xfId="0" applyFont="1" applyFill="1" applyBorder="1" applyAlignment="1" applyProtection="1">
      <alignment horizontal="center"/>
      <protection hidden="1"/>
    </xf>
    <xf numFmtId="0" fontId="1" fillId="40" borderId="30" xfId="0" applyFont="1" applyFill="1" applyBorder="1" applyAlignment="1" applyProtection="1">
      <alignment horizontal="center"/>
      <protection hidden="1"/>
    </xf>
    <xf numFmtId="0" fontId="13" fillId="34" borderId="58" xfId="0" applyFont="1" applyFill="1" applyBorder="1" applyAlignment="1" applyProtection="1">
      <alignment horizontal="center" vertical="center"/>
      <protection hidden="1"/>
    </xf>
    <xf numFmtId="0" fontId="13" fillId="34" borderId="59" xfId="0" applyFont="1" applyFill="1" applyBorder="1" applyAlignment="1" applyProtection="1">
      <alignment horizontal="center" vertical="center"/>
      <protection hidden="1"/>
    </xf>
    <xf numFmtId="0" fontId="13" fillId="32" borderId="28" xfId="0" applyFont="1" applyFill="1" applyBorder="1" applyAlignment="1">
      <alignment horizontal="center" vertical="center"/>
    </xf>
    <xf numFmtId="0" fontId="13" fillId="32" borderId="29" xfId="0" applyFont="1" applyFill="1" applyBorder="1" applyAlignment="1">
      <alignment horizontal="center" vertical="center"/>
    </xf>
    <xf numFmtId="0" fontId="13" fillId="32" borderId="32" xfId="0" applyFont="1" applyFill="1" applyBorder="1" applyAlignment="1">
      <alignment horizontal="center" vertical="center"/>
    </xf>
    <xf numFmtId="0" fontId="13" fillId="32" borderId="33" xfId="0" applyFont="1" applyFill="1" applyBorder="1" applyAlignment="1">
      <alignment horizontal="center" vertical="center"/>
    </xf>
    <xf numFmtId="0" fontId="1" fillId="40" borderId="32" xfId="0" applyFont="1" applyFill="1" applyBorder="1" applyAlignment="1" applyProtection="1">
      <alignment horizontal="center"/>
      <protection hidden="1"/>
    </xf>
    <xf numFmtId="0" fontId="1" fillId="40" borderId="26" xfId="0" applyFont="1" applyFill="1" applyBorder="1" applyAlignment="1" applyProtection="1">
      <alignment horizontal="center"/>
      <protection hidden="1"/>
    </xf>
    <xf numFmtId="0" fontId="1" fillId="40" borderId="50" xfId="0" applyFont="1" applyFill="1" applyBorder="1" applyAlignment="1" applyProtection="1">
      <alignment horizontal="center"/>
      <protection hidden="1"/>
    </xf>
    <xf numFmtId="0" fontId="15" fillId="40" borderId="0" xfId="0" applyFont="1" applyFill="1" applyBorder="1" applyAlignment="1" applyProtection="1">
      <alignment horizontal="center"/>
      <protection hidden="1"/>
    </xf>
    <xf numFmtId="0" fontId="15" fillId="40" borderId="47" xfId="0" applyFont="1" applyFill="1" applyBorder="1" applyAlignment="1" applyProtection="1">
      <alignment horizontal="center"/>
      <protection hidden="1"/>
    </xf>
    <xf numFmtId="0" fontId="14" fillId="40" borderId="56" xfId="0" applyFont="1" applyFill="1" applyBorder="1" applyAlignment="1" applyProtection="1">
      <alignment horizontal="center"/>
      <protection hidden="1"/>
    </xf>
    <xf numFmtId="0" fontId="14" fillId="40" borderId="85" xfId="0" applyFont="1" applyFill="1" applyBorder="1" applyAlignment="1" applyProtection="1">
      <alignment horizontal="center"/>
      <protection hidden="1"/>
    </xf>
    <xf numFmtId="0" fontId="1" fillId="40" borderId="61" xfId="0" applyFont="1" applyFill="1" applyBorder="1" applyAlignment="1" applyProtection="1">
      <alignment horizontal="center"/>
      <protection hidden="1"/>
    </xf>
    <xf numFmtId="0" fontId="16" fillId="33" borderId="56" xfId="0" applyFont="1" applyFill="1" applyBorder="1" applyAlignment="1" applyProtection="1">
      <alignment horizontal="center" vertical="center"/>
      <protection hidden="1"/>
    </xf>
    <xf numFmtId="0" fontId="16" fillId="33" borderId="57" xfId="0" applyFont="1" applyFill="1" applyBorder="1" applyAlignment="1" applyProtection="1">
      <alignment horizontal="center" vertical="center"/>
      <protection hidden="1"/>
    </xf>
    <xf numFmtId="0" fontId="1" fillId="40" borderId="33" xfId="0" applyFont="1" applyFill="1" applyBorder="1" applyAlignment="1" applyProtection="1">
      <alignment horizontal="center"/>
      <protection hidden="1"/>
    </xf>
    <xf numFmtId="0" fontId="13" fillId="32" borderId="3" xfId="0" applyFont="1" applyFill="1" applyBorder="1" applyAlignment="1" applyProtection="1">
      <alignment horizontal="center" vertical="center"/>
      <protection hidden="1"/>
    </xf>
    <xf numFmtId="0" fontId="13" fillId="32" borderId="6" xfId="0" applyFont="1" applyFill="1" applyBorder="1" applyAlignment="1" applyProtection="1">
      <alignment horizontal="center" vertical="center"/>
      <protection hidden="1"/>
    </xf>
    <xf numFmtId="0" fontId="5" fillId="39" borderId="83" xfId="0" applyFont="1" applyFill="1" applyBorder="1" applyAlignment="1">
      <alignment horizontal="center" vertical="center" wrapText="1"/>
    </xf>
    <xf numFmtId="0" fontId="5" fillId="39" borderId="84" xfId="0" applyFont="1" applyFill="1" applyBorder="1" applyAlignment="1">
      <alignment horizontal="center" vertical="center" wrapText="1"/>
    </xf>
    <xf numFmtId="0" fontId="5" fillId="39" borderId="81" xfId="0" applyFont="1" applyFill="1" applyBorder="1" applyAlignment="1">
      <alignment horizontal="center" vertical="center" wrapText="1"/>
    </xf>
    <xf numFmtId="0" fontId="5" fillId="39" borderId="82" xfId="0" applyFont="1" applyFill="1" applyBorder="1" applyAlignment="1">
      <alignment horizontal="center" vertical="center" wrapText="1"/>
    </xf>
    <xf numFmtId="0" fontId="6" fillId="32" borderId="2" xfId="0" applyFont="1" applyFill="1" applyBorder="1" applyAlignment="1" applyProtection="1">
      <alignment horizontal="center" vertical="center"/>
      <protection hidden="1"/>
    </xf>
    <xf numFmtId="0" fontId="6" fillId="32" borderId="5" xfId="0" applyFont="1" applyFill="1" applyBorder="1" applyAlignment="1" applyProtection="1">
      <alignment horizontal="center" vertical="center"/>
      <protection hidden="1"/>
    </xf>
    <xf numFmtId="0" fontId="17" fillId="32" borderId="28" xfId="0" applyFont="1" applyFill="1" applyBorder="1" applyAlignment="1">
      <alignment horizontal="center" vertical="center"/>
    </xf>
    <xf numFmtId="0" fontId="17" fillId="32" borderId="34" xfId="0" applyFont="1" applyFill="1" applyBorder="1" applyAlignment="1">
      <alignment horizontal="center" vertical="center"/>
    </xf>
    <xf numFmtId="0" fontId="17" fillId="32" borderId="29" xfId="0" applyFont="1" applyFill="1" applyBorder="1" applyAlignment="1">
      <alignment horizontal="center" vertical="center"/>
    </xf>
    <xf numFmtId="0" fontId="17" fillId="32" borderId="32" xfId="0" applyFont="1" applyFill="1" applyBorder="1" applyAlignment="1">
      <alignment horizontal="center" vertical="center"/>
    </xf>
    <xf numFmtId="0" fontId="17" fillId="32" borderId="26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12" fillId="39" borderId="28" xfId="0" applyFont="1" applyFill="1" applyBorder="1" applyAlignment="1">
      <alignment horizontal="center" vertical="center" wrapText="1"/>
    </xf>
    <xf numFmtId="0" fontId="12" fillId="39" borderId="29" xfId="0" applyFont="1" applyFill="1" applyBorder="1" applyAlignment="1">
      <alignment horizontal="center" vertical="center" wrapText="1"/>
    </xf>
    <xf numFmtId="0" fontId="12" fillId="39" borderId="30" xfId="0" applyFont="1" applyFill="1" applyBorder="1" applyAlignment="1">
      <alignment horizontal="center" vertical="center" wrapText="1"/>
    </xf>
    <xf numFmtId="0" fontId="12" fillId="39" borderId="31" xfId="0" applyFont="1" applyFill="1" applyBorder="1" applyAlignment="1">
      <alignment horizontal="center" vertical="center" wrapText="1"/>
    </xf>
    <xf numFmtId="0" fontId="12" fillId="39" borderId="32" xfId="0" applyFont="1" applyFill="1" applyBorder="1" applyAlignment="1">
      <alignment horizontal="center" vertical="center" wrapText="1"/>
    </xf>
    <xf numFmtId="0" fontId="12" fillId="39" borderId="33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6C1223"/>
      <color rgb="FFFAE2E7"/>
      <color rgb="FF560E1B"/>
      <color rgb="FFCBCBCB"/>
      <color rgb="FFCFCFCF"/>
      <color rgb="FFFDD7E2"/>
      <color rgb="FFFCCCDA"/>
      <color rgb="FFFAB4C8"/>
      <color rgb="FFB9B8B4"/>
      <color rgb="FF960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8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svg"/><Relationship Id="rId1" Type="http://schemas.openxmlformats.org/officeDocument/2006/relationships/image" Target="../media/image12.png"/><Relationship Id="rId4" Type="http://schemas.openxmlformats.org/officeDocument/2006/relationships/image" Target="../media/image4.sv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175260</xdr:rowOff>
    </xdr:from>
    <xdr:to>
      <xdr:col>18</xdr:col>
      <xdr:colOff>6187</xdr:colOff>
      <xdr:row>26</xdr:row>
      <xdr:rowOff>34383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CE3AED5-80D5-420C-A38F-91E6339F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85960" y="316230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594360</xdr:colOff>
      <xdr:row>17</xdr:row>
      <xdr:rowOff>22860</xdr:rowOff>
    </xdr:from>
    <xdr:to>
      <xdr:col>8</xdr:col>
      <xdr:colOff>7621</xdr:colOff>
      <xdr:row>26</xdr:row>
      <xdr:rowOff>167640</xdr:rowOff>
    </xdr:to>
    <xdr:pic>
      <xdr:nvPicPr>
        <xdr:cNvPr id="7" name="Gráfico 6">
          <a:extLst>
            <a:ext uri="{FF2B5EF4-FFF2-40B4-BE49-F238E27FC236}">
              <a16:creationId xmlns="" xmlns:a16="http://schemas.microsoft.com/office/drawing/2014/main" id="{06D550C4-2953-4E42-9CD6-6884E606DD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77540" y="3009900"/>
          <a:ext cx="1516380" cy="1866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127209</xdr:colOff>
      <xdr:row>0</xdr:row>
      <xdr:rowOff>0</xdr:rowOff>
    </xdr:from>
    <xdr:to>
      <xdr:col>9</xdr:col>
      <xdr:colOff>190229</xdr:colOff>
      <xdr:row>15</xdr:row>
      <xdr:rowOff>160020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F7E443C-385B-435A-A0CF-147AB755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7669" y="0"/>
          <a:ext cx="2440460" cy="34518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0</xdr:row>
      <xdr:rowOff>0</xdr:rowOff>
    </xdr:from>
    <xdr:to>
      <xdr:col>12</xdr:col>
      <xdr:colOff>754380</xdr:colOff>
      <xdr:row>19</xdr:row>
      <xdr:rowOff>17664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A4CA6168-CD37-4917-A36C-F72CF22AD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0660" y="0"/>
          <a:ext cx="5364480" cy="3797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47154</xdr:colOff>
      <xdr:row>18</xdr:row>
      <xdr:rowOff>13241</xdr:rowOff>
    </xdr:from>
    <xdr:to>
      <xdr:col>17</xdr:col>
      <xdr:colOff>358140</xdr:colOff>
      <xdr:row>26</xdr:row>
      <xdr:rowOff>62863</xdr:rowOff>
    </xdr:to>
    <xdr:pic>
      <xdr:nvPicPr>
        <xdr:cNvPr id="3" name="Gráfico 2">
          <a:extLst>
            <a:ext uri="{FF2B5EF4-FFF2-40B4-BE49-F238E27FC236}">
              <a16:creationId xmlns="" xmlns:a16="http://schemas.microsoft.com/office/drawing/2014/main" id="{01D10B2A-6987-4743-AE46-D2CF6A678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48354" y="3213641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16</xdr:row>
      <xdr:rowOff>175260</xdr:rowOff>
    </xdr:from>
    <xdr:to>
      <xdr:col>8</xdr:col>
      <xdr:colOff>2857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793D1CD0-FA63-47BC-B763-510D06D64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61360" y="2994660"/>
          <a:ext cx="151638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17</xdr:row>
      <xdr:rowOff>121920</xdr:rowOff>
    </xdr:from>
    <xdr:to>
      <xdr:col>17</xdr:col>
      <xdr:colOff>379566</xdr:colOff>
      <xdr:row>25</xdr:row>
      <xdr:rowOff>171544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007AC37D-F708-4CA8-94B9-2D8D3B6C3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70720" y="310896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16</xdr:row>
      <xdr:rowOff>167640</xdr:rowOff>
    </xdr:from>
    <xdr:to>
      <xdr:col>7</xdr:col>
      <xdr:colOff>304800</xdr:colOff>
      <xdr:row>26</xdr:row>
      <xdr:rowOff>121919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8A278D9D-1851-42D7-961A-0C3FCC2CE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154680" y="2964180"/>
          <a:ext cx="1516380" cy="1866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18</xdr:row>
      <xdr:rowOff>15240</xdr:rowOff>
    </xdr:from>
    <xdr:to>
      <xdr:col>17</xdr:col>
      <xdr:colOff>379566</xdr:colOff>
      <xdr:row>26</xdr:row>
      <xdr:rowOff>62958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9F97E14-2CE4-4676-8AAA-10ECB2556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02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17</xdr:row>
      <xdr:rowOff>15240</xdr:rowOff>
    </xdr:from>
    <xdr:to>
      <xdr:col>7</xdr:col>
      <xdr:colOff>304800</xdr:colOff>
      <xdr:row>26</xdr:row>
      <xdr:rowOff>158115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1249953-A71E-4C9D-9D0D-A056EC57C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8422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17</xdr:row>
      <xdr:rowOff>144780</xdr:rowOff>
    </xdr:from>
    <xdr:to>
      <xdr:col>17</xdr:col>
      <xdr:colOff>377661</xdr:colOff>
      <xdr:row>26</xdr:row>
      <xdr:rowOff>3903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B1C7B074-5AE8-44ED-8AD9-DC2A4126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07880" y="31318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541020</xdr:colOff>
      <xdr:row>17</xdr:row>
      <xdr:rowOff>0</xdr:rowOff>
    </xdr:from>
    <xdr:to>
      <xdr:col>7</xdr:col>
      <xdr:colOff>274320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1B1F87EB-6ABE-499C-A6DE-EF64B39514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2537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17</xdr:row>
      <xdr:rowOff>167640</xdr:rowOff>
    </xdr:from>
    <xdr:to>
      <xdr:col>17</xdr:col>
      <xdr:colOff>356706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1B68340D-5D28-4E27-ACD4-400AF827E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677400" y="316992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CBF5D282-1AB6-473F-A24B-9054BCA6F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3002280"/>
          <a:ext cx="1516380" cy="186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83820</xdr:colOff>
      <xdr:row>17</xdr:row>
      <xdr:rowOff>167640</xdr:rowOff>
    </xdr:from>
    <xdr:to>
      <xdr:col>18</xdr:col>
      <xdr:colOff>6186</xdr:colOff>
      <xdr:row>26</xdr:row>
      <xdr:rowOff>26763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3A167E75-1C18-4DFF-A512-94414413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1546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617220</xdr:colOff>
      <xdr:row>17</xdr:row>
      <xdr:rowOff>0</xdr:rowOff>
    </xdr:from>
    <xdr:to>
      <xdr:col>8</xdr:col>
      <xdr:colOff>30480</xdr:colOff>
      <xdr:row>26</xdr:row>
      <xdr:rowOff>144780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0C0E2D75-7D65-4C27-940C-082199D580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3299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91440</xdr:colOff>
      <xdr:row>18</xdr:row>
      <xdr:rowOff>0</xdr:rowOff>
    </xdr:from>
    <xdr:to>
      <xdr:col>18</xdr:col>
      <xdr:colOff>13806</xdr:colOff>
      <xdr:row>26</xdr:row>
      <xdr:rowOff>49623</xdr:rowOff>
    </xdr:to>
    <xdr:pic>
      <xdr:nvPicPr>
        <xdr:cNvPr id="6" name="Gráfico 5">
          <a:extLst>
            <a:ext uri="{FF2B5EF4-FFF2-40B4-BE49-F238E27FC236}">
              <a16:creationId xmlns="" xmlns:a16="http://schemas.microsoft.com/office/drawing/2014/main" id="{4FE71CB7-1691-4EDA-B328-CFC98765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3560" y="3192780"/>
          <a:ext cx="1476846" cy="1581243"/>
        </a:xfrm>
        <a:prstGeom prst="rect">
          <a:avLst/>
        </a:prstGeom>
      </xdr:spPr>
    </xdr:pic>
    <xdr:clientData/>
  </xdr:twoCellAnchor>
  <xdr:twoCellAnchor editAs="oneCell">
    <xdr:from>
      <xdr:col>5</xdr:col>
      <xdr:colOff>601980</xdr:colOff>
      <xdr:row>16</xdr:row>
      <xdr:rowOff>175260</xdr:rowOff>
    </xdr:from>
    <xdr:to>
      <xdr:col>8</xdr:col>
      <xdr:colOff>15240</xdr:colOff>
      <xdr:row>26</xdr:row>
      <xdr:rowOff>129540</xdr:rowOff>
    </xdr:to>
    <xdr:pic>
      <xdr:nvPicPr>
        <xdr:cNvPr id="4" name="Gráfico 3">
          <a:extLst>
            <a:ext uri="{FF2B5EF4-FFF2-40B4-BE49-F238E27FC236}">
              <a16:creationId xmlns="" xmlns:a16="http://schemas.microsoft.com/office/drawing/2014/main" id="{E19F4D41-4A90-4F96-B412-C2AEC7A6C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rcRect l="19016" t="7213" r="15738" b="12459"/>
        <a:stretch/>
      </xdr:blipFill>
      <xdr:spPr>
        <a:xfrm>
          <a:off x="3025140" y="2987040"/>
          <a:ext cx="1516380" cy="1866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1019175</xdr:colOff>
      <xdr:row>8</xdr:row>
      <xdr:rowOff>78921</xdr:rowOff>
    </xdr:from>
    <xdr:to>
      <xdr:col>14</xdr:col>
      <xdr:colOff>1628774</xdr:colOff>
      <xdr:row>11</xdr:row>
      <xdr:rowOff>117020</xdr:rowOff>
    </xdr:to>
    <xdr:pic>
      <xdr:nvPicPr>
        <xdr:cNvPr id="2" name="Imagen 1" descr="Resultado de imagen para trofeo mundial png">
          <a:extLst>
            <a:ext uri="{FF2B5EF4-FFF2-40B4-BE49-F238E27FC236}">
              <a16:creationId xmlns="" xmlns:a16="http://schemas.microsoft.com/office/drawing/2014/main" id="{10E4853C-6A53-402C-B265-986E1D89F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432" y="1461407"/>
          <a:ext cx="609599" cy="625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odas/Downloads/Polla%20Qatar%202022%20(2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la%20Qatar%2020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E"/>
      <sheetName val="Grupo D"/>
      <sheetName val="Grupo F"/>
      <sheetName val="Grupo G"/>
      <sheetName val="Grupo H"/>
      <sheetName val="Cuadro Final"/>
      <sheetName val="Goleador"/>
      <sheetName val="Puntuación Total"/>
      <sheetName val="Polla Qatar 2022 (2) (1)"/>
    </sheetNames>
    <sheetDataSet>
      <sheetData sheetId="0"/>
      <sheetData sheetId="1">
        <row r="16">
          <cell r="Y16" t="str">
            <v>Qatar</v>
          </cell>
          <cell r="Z16">
            <v>0</v>
          </cell>
          <cell r="AA16">
            <v>0</v>
          </cell>
          <cell r="AB16">
            <v>3</v>
          </cell>
          <cell r="AC16">
            <v>0</v>
          </cell>
          <cell r="AD16">
            <v>7</v>
          </cell>
          <cell r="AE16">
            <v>-7</v>
          </cell>
          <cell r="AF16">
            <v>0</v>
          </cell>
          <cell r="AG16">
            <v>3</v>
          </cell>
          <cell r="AH16">
            <v>-7000</v>
          </cell>
          <cell r="AQ16">
            <v>-7000</v>
          </cell>
          <cell r="AR16">
            <v>4</v>
          </cell>
        </row>
        <row r="17">
          <cell r="Y17" t="str">
            <v>Senegal</v>
          </cell>
          <cell r="Z17">
            <v>1</v>
          </cell>
          <cell r="AA17">
            <v>0</v>
          </cell>
          <cell r="AB17">
            <v>2</v>
          </cell>
          <cell r="AC17">
            <v>4</v>
          </cell>
          <cell r="AD17">
            <v>5</v>
          </cell>
          <cell r="AE17">
            <v>-1</v>
          </cell>
          <cell r="AF17">
            <v>3</v>
          </cell>
          <cell r="AG17">
            <v>3</v>
          </cell>
          <cell r="AH17">
            <v>29040</v>
          </cell>
          <cell r="AQ17">
            <v>29040</v>
          </cell>
          <cell r="AR17">
            <v>3</v>
          </cell>
        </row>
        <row r="18">
          <cell r="Y18" t="str">
            <v>Países Bajos</v>
          </cell>
          <cell r="Z18">
            <v>3</v>
          </cell>
          <cell r="AA18">
            <v>0</v>
          </cell>
          <cell r="AB18">
            <v>0</v>
          </cell>
          <cell r="AC18">
            <v>8</v>
          </cell>
          <cell r="AD18">
            <v>2</v>
          </cell>
          <cell r="AE18">
            <v>6</v>
          </cell>
          <cell r="AF18">
            <v>9</v>
          </cell>
          <cell r="AG18">
            <v>3</v>
          </cell>
          <cell r="AH18">
            <v>96080</v>
          </cell>
          <cell r="AQ18">
            <v>96080</v>
          </cell>
          <cell r="AR18">
            <v>1</v>
          </cell>
        </row>
        <row r="19">
          <cell r="Y19" t="str">
            <v>Ecuador</v>
          </cell>
          <cell r="Z19">
            <v>2</v>
          </cell>
          <cell r="AA19">
            <v>0</v>
          </cell>
          <cell r="AB19">
            <v>1</v>
          </cell>
          <cell r="AC19">
            <v>5</v>
          </cell>
          <cell r="AD19">
            <v>3</v>
          </cell>
          <cell r="AE19">
            <v>2</v>
          </cell>
          <cell r="AF19">
            <v>6</v>
          </cell>
          <cell r="AG19">
            <v>3</v>
          </cell>
          <cell r="AH19">
            <v>62050</v>
          </cell>
          <cell r="AQ19">
            <v>62050</v>
          </cell>
          <cell r="AR19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las Polla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Cuadro Final"/>
      <sheetName val="Goleador"/>
      <sheetName val="Puntuación Total"/>
      <sheetName val="DB_PAR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A1:I65" totalsRowShown="0">
  <autoFilter ref="A1:I65"/>
  <tableColumns count="9">
    <tableColumn id="1" name="CODIGO" dataDxfId="2">
      <calculatedColumnFormula>CONCATENATE(B2,C2)</calculatedColumnFormula>
    </tableColumn>
    <tableColumn id="2" name="GRUPO" dataDxfId="1"/>
    <tableColumn id="3" name="PARTIDO" dataDxfId="0"/>
    <tableColumn id="4" name="LOCAL"/>
    <tableColumn id="5" name="GOLES_LOCAL"/>
    <tableColumn id="6" name="VISITANTE"/>
    <tableColumn id="7" name="GOLES_VISITANTE"/>
    <tableColumn id="8" name="GOLES_LOCAL_REAL">
      <calculatedColumnFormula>IF([2]!Tabla1[[#This Row],[GOLES_LOCAL_REAL]]="","",[2]!Tabla1[[#This Row],[GOLES_LOCAL_REAL]])</calculatedColumnFormula>
    </tableColumn>
    <tableColumn id="9" name="GOLES_VISITANTE_REAL">
      <calculatedColumnFormula>IF([2]!Tabla1[[#This Row],[GOLES_VISITANTE_REAL]]="","",[2]!Tabla1[[#This Row],[GOLES_VISITANTE_REAL]])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M17" totalsRowShown="0">
  <autoFilter ref="L1:M17"/>
  <tableColumns count="2">
    <tableColumn id="1" name="CODIGO"/>
    <tableColumn id="2" name="CLASIFICA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L19:M21" totalsRowShown="0">
  <autoFilter ref="L19:M21"/>
  <tableColumns count="2">
    <tableColumn id="1" name="COD"/>
    <tableColumn id="2" name="GOLE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5"/>
  <sheetViews>
    <sheetView showGridLines="0" workbookViewId="0">
      <selection activeCell="H23" sqref="H23"/>
    </sheetView>
  </sheetViews>
  <sheetFormatPr baseColWidth="10" defaultColWidth="11.5703125" defaultRowHeight="15.75" x14ac:dyDescent="0.25"/>
  <cols>
    <col min="1" max="1" width="3.42578125" style="39" customWidth="1"/>
    <col min="2" max="2" width="78.7109375" style="39" customWidth="1"/>
    <col min="3" max="3" width="40.7109375" style="39" customWidth="1"/>
    <col min="4" max="4" width="0" style="39" hidden="1" customWidth="1"/>
    <col min="5" max="16384" width="11.5703125" style="39"/>
  </cols>
  <sheetData>
    <row r="1" spans="2:3" ht="16.5" thickBot="1" x14ac:dyDescent="0.3"/>
    <row r="2" spans="2:3" ht="16.5" thickBot="1" x14ac:dyDescent="0.3">
      <c r="B2" s="329" t="s">
        <v>132</v>
      </c>
      <c r="C2" s="330"/>
    </row>
    <row r="3" spans="2:3" ht="15" customHeight="1" x14ac:dyDescent="0.25">
      <c r="B3" s="345" t="s">
        <v>159</v>
      </c>
      <c r="C3" s="346"/>
    </row>
    <row r="4" spans="2:3" ht="17.25" customHeight="1" thickBot="1" x14ac:dyDescent="0.3">
      <c r="B4" s="351"/>
      <c r="C4" s="352"/>
    </row>
    <row r="5" spans="2:3" ht="16.5" thickBot="1" x14ac:dyDescent="0.3">
      <c r="B5" s="329" t="s">
        <v>113</v>
      </c>
      <c r="C5" s="330"/>
    </row>
    <row r="6" spans="2:3" x14ac:dyDescent="0.25">
      <c r="B6" s="363" t="s">
        <v>126</v>
      </c>
      <c r="C6" s="364"/>
    </row>
    <row r="7" spans="2:3" ht="15" customHeight="1" x14ac:dyDescent="0.25">
      <c r="B7" s="365" t="s">
        <v>161</v>
      </c>
      <c r="C7" s="366"/>
    </row>
    <row r="8" spans="2:3" x14ac:dyDescent="0.25">
      <c r="B8" s="365"/>
      <c r="C8" s="366"/>
    </row>
    <row r="9" spans="2:3" ht="15" customHeight="1" x14ac:dyDescent="0.25">
      <c r="B9" s="367" t="s">
        <v>211</v>
      </c>
      <c r="C9" s="368"/>
    </row>
    <row r="10" spans="2:3" x14ac:dyDescent="0.25">
      <c r="B10" s="367"/>
      <c r="C10" s="368"/>
    </row>
    <row r="11" spans="2:3" ht="15" customHeight="1" x14ac:dyDescent="0.25">
      <c r="B11" s="367" t="s">
        <v>128</v>
      </c>
      <c r="C11" s="368"/>
    </row>
    <row r="12" spans="2:3" ht="15" customHeight="1" x14ac:dyDescent="0.25">
      <c r="B12" s="369" t="s">
        <v>162</v>
      </c>
      <c r="C12" s="370"/>
    </row>
    <row r="13" spans="2:3" ht="15" customHeight="1" x14ac:dyDescent="0.25">
      <c r="B13" s="371" t="s">
        <v>163</v>
      </c>
      <c r="C13" s="372"/>
    </row>
    <row r="14" spans="2:3" ht="15" customHeight="1" x14ac:dyDescent="0.25">
      <c r="B14" s="369" t="s">
        <v>164</v>
      </c>
      <c r="C14" s="370"/>
    </row>
    <row r="15" spans="2:3" ht="15" customHeight="1" x14ac:dyDescent="0.25">
      <c r="B15" s="371" t="s">
        <v>165</v>
      </c>
      <c r="C15" s="372"/>
    </row>
    <row r="16" spans="2:3" ht="15" customHeight="1" x14ac:dyDescent="0.25">
      <c r="B16" s="373" t="s">
        <v>166</v>
      </c>
      <c r="C16" s="374"/>
    </row>
    <row r="17" spans="2:4" ht="15" customHeight="1" x14ac:dyDescent="0.25">
      <c r="B17" s="373" t="s">
        <v>167</v>
      </c>
      <c r="C17" s="374"/>
    </row>
    <row r="18" spans="2:4" x14ac:dyDescent="0.25">
      <c r="B18" s="349" t="s">
        <v>168</v>
      </c>
      <c r="C18" s="350"/>
    </row>
    <row r="19" spans="2:4" ht="16.5" thickBot="1" x14ac:dyDescent="0.3">
      <c r="B19" s="349"/>
      <c r="C19" s="350"/>
    </row>
    <row r="20" spans="2:4" ht="16.5" thickBot="1" x14ac:dyDescent="0.3">
      <c r="B20" s="329" t="s">
        <v>131</v>
      </c>
      <c r="C20" s="330"/>
    </row>
    <row r="21" spans="2:4" x14ac:dyDescent="0.25">
      <c r="B21" s="355" t="s">
        <v>169</v>
      </c>
      <c r="C21" s="356"/>
    </row>
    <row r="22" spans="2:4" ht="16.5" thickBot="1" x14ac:dyDescent="0.3">
      <c r="B22" s="357" t="s">
        <v>170</v>
      </c>
      <c r="C22" s="358"/>
    </row>
    <row r="23" spans="2:4" ht="15" customHeight="1" thickBot="1" x14ac:dyDescent="0.3">
      <c r="B23" s="329" t="s">
        <v>127</v>
      </c>
      <c r="C23" s="330"/>
    </row>
    <row r="24" spans="2:4" x14ac:dyDescent="0.25">
      <c r="B24" s="353" t="s">
        <v>129</v>
      </c>
      <c r="C24" s="354"/>
    </row>
    <row r="25" spans="2:4" ht="15" customHeight="1" x14ac:dyDescent="0.25">
      <c r="B25" s="327" t="s">
        <v>124</v>
      </c>
      <c r="C25" s="328"/>
    </row>
    <row r="26" spans="2:4" ht="15" customHeight="1" x14ac:dyDescent="0.25">
      <c r="B26" s="40" t="s">
        <v>121</v>
      </c>
      <c r="C26" s="41" t="s">
        <v>130</v>
      </c>
      <c r="D26" s="39">
        <v>2</v>
      </c>
    </row>
    <row r="27" spans="2:4" ht="15" customHeight="1" x14ac:dyDescent="0.25">
      <c r="B27" s="40" t="s">
        <v>122</v>
      </c>
      <c r="C27" s="42" t="s">
        <v>141</v>
      </c>
      <c r="D27" s="39">
        <v>2</v>
      </c>
    </row>
    <row r="28" spans="2:4" ht="15" customHeight="1" x14ac:dyDescent="0.25">
      <c r="B28" s="40" t="s">
        <v>123</v>
      </c>
      <c r="C28" s="41" t="s">
        <v>130</v>
      </c>
      <c r="D28" s="39">
        <v>2</v>
      </c>
    </row>
    <row r="29" spans="2:4" ht="15" customHeight="1" x14ac:dyDescent="0.25">
      <c r="B29" s="43" t="s">
        <v>115</v>
      </c>
      <c r="C29" s="44" t="s">
        <v>142</v>
      </c>
      <c r="D29" s="39">
        <v>4</v>
      </c>
    </row>
    <row r="30" spans="2:4" ht="15" customHeight="1" x14ac:dyDescent="0.25">
      <c r="B30" s="327" t="s">
        <v>125</v>
      </c>
      <c r="C30" s="328"/>
    </row>
    <row r="31" spans="2:4" ht="15" customHeight="1" x14ac:dyDescent="0.25">
      <c r="B31" s="45" t="s">
        <v>116</v>
      </c>
      <c r="C31" s="46" t="s">
        <v>143</v>
      </c>
      <c r="D31" s="39">
        <v>4</v>
      </c>
    </row>
    <row r="32" spans="2:4" ht="15" customHeight="1" x14ac:dyDescent="0.25">
      <c r="B32" s="40" t="s">
        <v>117</v>
      </c>
      <c r="C32" s="41" t="s">
        <v>144</v>
      </c>
      <c r="D32" s="39">
        <v>8</v>
      </c>
    </row>
    <row r="33" spans="2:4" ht="15" customHeight="1" x14ac:dyDescent="0.25">
      <c r="B33" s="40" t="s">
        <v>118</v>
      </c>
      <c r="C33" s="41" t="s">
        <v>171</v>
      </c>
      <c r="D33" s="39">
        <v>12</v>
      </c>
    </row>
    <row r="34" spans="2:4" ht="15" customHeight="1" x14ac:dyDescent="0.25">
      <c r="B34" s="40" t="s">
        <v>119</v>
      </c>
      <c r="C34" s="41" t="s">
        <v>172</v>
      </c>
      <c r="D34" s="39">
        <v>15</v>
      </c>
    </row>
    <row r="35" spans="2:4" ht="15" customHeight="1" x14ac:dyDescent="0.25">
      <c r="B35" s="43" t="s">
        <v>120</v>
      </c>
      <c r="C35" s="44" t="s">
        <v>173</v>
      </c>
      <c r="D35" s="39">
        <v>25</v>
      </c>
    </row>
    <row r="36" spans="2:4" x14ac:dyDescent="0.25">
      <c r="B36" s="327" t="s">
        <v>145</v>
      </c>
      <c r="C36" s="328"/>
    </row>
    <row r="37" spans="2:4" ht="16.5" thickBot="1" x14ac:dyDescent="0.3">
      <c r="B37" s="335" t="s">
        <v>160</v>
      </c>
      <c r="C37" s="336"/>
      <c r="D37" s="39">
        <v>10</v>
      </c>
    </row>
    <row r="38" spans="2:4" ht="15" customHeight="1" thickBot="1" x14ac:dyDescent="0.3">
      <c r="B38" s="329" t="s">
        <v>114</v>
      </c>
      <c r="C38" s="330"/>
    </row>
    <row r="39" spans="2:4" x14ac:dyDescent="0.25">
      <c r="B39" s="331" t="s">
        <v>133</v>
      </c>
      <c r="C39" s="332"/>
    </row>
    <row r="40" spans="2:4" x14ac:dyDescent="0.25">
      <c r="B40" s="333"/>
      <c r="C40" s="334"/>
    </row>
    <row r="41" spans="2:4" x14ac:dyDescent="0.25">
      <c r="B41" s="339" t="s">
        <v>174</v>
      </c>
      <c r="C41" s="340"/>
    </row>
    <row r="42" spans="2:4" x14ac:dyDescent="0.25">
      <c r="B42" s="341" t="s">
        <v>175</v>
      </c>
      <c r="C42" s="342"/>
    </row>
    <row r="43" spans="2:4" x14ac:dyDescent="0.25">
      <c r="B43" s="343" t="s">
        <v>176</v>
      </c>
      <c r="C43" s="344"/>
    </row>
    <row r="44" spans="2:4" ht="16.5" thickBot="1" x14ac:dyDescent="0.3">
      <c r="B44" s="337" t="s">
        <v>177</v>
      </c>
      <c r="C44" s="338"/>
    </row>
    <row r="45" spans="2:4" ht="15" customHeight="1" thickBot="1" x14ac:dyDescent="0.3">
      <c r="B45" s="329" t="s">
        <v>136</v>
      </c>
      <c r="C45" s="330"/>
    </row>
    <row r="46" spans="2:4" x14ac:dyDescent="0.25">
      <c r="B46" s="345" t="s">
        <v>134</v>
      </c>
      <c r="C46" s="346"/>
    </row>
    <row r="47" spans="2:4" ht="15" customHeight="1" x14ac:dyDescent="0.25">
      <c r="B47" s="347"/>
      <c r="C47" s="348"/>
    </row>
    <row r="48" spans="2:4" x14ac:dyDescent="0.25">
      <c r="B48" s="349" t="s">
        <v>178</v>
      </c>
      <c r="C48" s="350"/>
    </row>
    <row r="49" spans="2:3" ht="16.5" thickBot="1" x14ac:dyDescent="0.3">
      <c r="B49" s="351"/>
      <c r="C49" s="352"/>
    </row>
    <row r="50" spans="2:3" ht="15" customHeight="1" thickBot="1" x14ac:dyDescent="0.3">
      <c r="B50" s="329" t="s">
        <v>135</v>
      </c>
      <c r="C50" s="330"/>
    </row>
    <row r="51" spans="2:3" x14ac:dyDescent="0.25">
      <c r="B51" s="359" t="s">
        <v>137</v>
      </c>
      <c r="C51" s="360"/>
    </row>
    <row r="52" spans="2:3" x14ac:dyDescent="0.25">
      <c r="B52" s="361"/>
      <c r="C52" s="362"/>
    </row>
    <row r="53" spans="2:3" x14ac:dyDescent="0.25">
      <c r="B53" s="325" t="s">
        <v>181</v>
      </c>
      <c r="C53" s="326"/>
    </row>
    <row r="54" spans="2:3" x14ac:dyDescent="0.25">
      <c r="B54" s="325" t="s">
        <v>179</v>
      </c>
      <c r="C54" s="326"/>
    </row>
    <row r="55" spans="2:3" x14ac:dyDescent="0.25">
      <c r="B55" s="325" t="s">
        <v>180</v>
      </c>
      <c r="C55" s="326"/>
    </row>
  </sheetData>
  <sheetProtection selectLockedCells="1"/>
  <mergeCells count="37">
    <mergeCell ref="B50:C50"/>
    <mergeCell ref="B51:C52"/>
    <mergeCell ref="B3:C4"/>
    <mergeCell ref="B2:C2"/>
    <mergeCell ref="B5:C5"/>
    <mergeCell ref="B6:C6"/>
    <mergeCell ref="B7:C8"/>
    <mergeCell ref="B9:C10"/>
    <mergeCell ref="B11:C11"/>
    <mergeCell ref="B12:C12"/>
    <mergeCell ref="B13:C13"/>
    <mergeCell ref="B18:C19"/>
    <mergeCell ref="B14:C14"/>
    <mergeCell ref="B15:C15"/>
    <mergeCell ref="B16:C16"/>
    <mergeCell ref="B17:C17"/>
    <mergeCell ref="B24:C24"/>
    <mergeCell ref="B20:C20"/>
    <mergeCell ref="B21:C21"/>
    <mergeCell ref="B22:C22"/>
    <mergeCell ref="B23:C23"/>
    <mergeCell ref="B55:C55"/>
    <mergeCell ref="B25:C25"/>
    <mergeCell ref="B30:C30"/>
    <mergeCell ref="B38:C38"/>
    <mergeCell ref="B39:C40"/>
    <mergeCell ref="B45:C45"/>
    <mergeCell ref="B37:C37"/>
    <mergeCell ref="B36:C36"/>
    <mergeCell ref="B44:C44"/>
    <mergeCell ref="B41:C41"/>
    <mergeCell ref="B42:C42"/>
    <mergeCell ref="B43:C43"/>
    <mergeCell ref="B46:C47"/>
    <mergeCell ref="B48:C49"/>
    <mergeCell ref="B54:C54"/>
    <mergeCell ref="B53:C5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showGridLines="0" zoomScale="65" zoomScaleNormal="65" workbookViewId="0">
      <selection activeCell="C5" sqref="C5"/>
    </sheetView>
  </sheetViews>
  <sheetFormatPr baseColWidth="10" defaultRowHeight="15" x14ac:dyDescent="0.25"/>
  <cols>
    <col min="1" max="1" width="1" customWidth="1"/>
    <col min="3" max="3" width="22.7109375" customWidth="1"/>
    <col min="4" max="5" width="3.7109375" customWidth="1"/>
    <col min="6" max="6" width="22.7109375" customWidth="1"/>
    <col min="7" max="8" width="3.7109375" customWidth="1"/>
    <col min="9" max="9" width="22.7109375" customWidth="1"/>
    <col min="10" max="11" width="3.7109375" customWidth="1"/>
    <col min="12" max="12" width="22.7109375" customWidth="1"/>
    <col min="13" max="14" width="3.7109375" customWidth="1"/>
    <col min="15" max="15" width="39" customWidth="1"/>
    <col min="16" max="17" width="3.7109375" customWidth="1"/>
    <col min="18" max="18" width="22.7109375" customWidth="1"/>
    <col min="19" max="20" width="3.7109375" customWidth="1"/>
    <col min="21" max="21" width="22.7109375" customWidth="1"/>
    <col min="22" max="23" width="3.7109375" customWidth="1"/>
    <col min="24" max="24" width="22.7109375" customWidth="1"/>
    <col min="25" max="26" width="3.7109375" customWidth="1"/>
    <col min="27" max="27" width="22.7109375" customWidth="1"/>
    <col min="28" max="28" width="11.42578125" style="10"/>
    <col min="29" max="93" width="11.5703125" style="2"/>
  </cols>
  <sheetData>
    <row r="1" spans="1:93" ht="6" customHeight="1" thickBot="1" x14ac:dyDescent="0.3"/>
    <row r="2" spans="1:93" s="148" customFormat="1" x14ac:dyDescent="0.25">
      <c r="A2"/>
      <c r="B2" s="239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  <row r="3" spans="1:93" s="148" customFormat="1" ht="20.25" x14ac:dyDescent="0.35">
      <c r="A3"/>
      <c r="B3" s="240"/>
      <c r="C3" s="666" t="s">
        <v>29</v>
      </c>
      <c r="D3" s="666"/>
      <c r="E3" s="666"/>
      <c r="F3" s="667" t="s">
        <v>30</v>
      </c>
      <c r="G3" s="667"/>
      <c r="H3" s="667"/>
      <c r="I3" s="667" t="s">
        <v>31</v>
      </c>
      <c r="J3" s="667"/>
      <c r="K3" s="667"/>
      <c r="L3" s="667" t="s">
        <v>32</v>
      </c>
      <c r="M3" s="667"/>
      <c r="N3" s="667"/>
      <c r="O3" s="247" t="s">
        <v>33</v>
      </c>
      <c r="P3" s="667" t="s">
        <v>32</v>
      </c>
      <c r="Q3" s="667"/>
      <c r="R3" s="667"/>
      <c r="S3" s="667" t="s">
        <v>31</v>
      </c>
      <c r="T3" s="667"/>
      <c r="U3" s="667"/>
      <c r="V3" s="667" t="s">
        <v>30</v>
      </c>
      <c r="W3" s="667"/>
      <c r="X3" s="667"/>
      <c r="Y3" s="666" t="s">
        <v>29</v>
      </c>
      <c r="Z3" s="666"/>
      <c r="AA3" s="666"/>
      <c r="AB3" s="248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48" customFormat="1" ht="15.75" thickBot="1" x14ac:dyDescent="0.3">
      <c r="A4"/>
      <c r="B4" s="241"/>
      <c r="C4" s="249"/>
      <c r="D4" s="250" t="s">
        <v>50</v>
      </c>
      <c r="E4" s="250" t="s">
        <v>94</v>
      </c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51"/>
      <c r="Q4" s="251"/>
      <c r="R4" s="251"/>
      <c r="S4" s="238"/>
      <c r="T4" s="238"/>
      <c r="U4" s="238"/>
      <c r="V4" s="238"/>
      <c r="W4" s="238"/>
      <c r="X4" s="238"/>
      <c r="Y4" s="252" t="s">
        <v>50</v>
      </c>
      <c r="Z4" s="252" t="s">
        <v>94</v>
      </c>
      <c r="AA4" s="253"/>
      <c r="AB4" s="25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</row>
    <row r="5" spans="1:93" ht="15.75" thickBot="1" x14ac:dyDescent="0.3">
      <c r="B5" s="242" t="s">
        <v>51</v>
      </c>
      <c r="C5" s="153" t="str">
        <f>'Grupo A'!$S$16</f>
        <v>Qatar</v>
      </c>
      <c r="D5" s="12"/>
      <c r="E5" s="12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51"/>
      <c r="Q5" s="251"/>
      <c r="R5" s="251"/>
      <c r="S5" s="238"/>
      <c r="T5" s="238"/>
      <c r="U5" s="238"/>
      <c r="V5" s="238"/>
      <c r="W5" s="238"/>
      <c r="X5" s="238"/>
      <c r="Y5" s="11"/>
      <c r="Z5" s="12"/>
      <c r="AA5" s="149" t="str">
        <f>'Grupo B'!$S$16</f>
        <v>Inglaterra</v>
      </c>
      <c r="AB5" s="300" t="s">
        <v>42</v>
      </c>
    </row>
    <row r="6" spans="1:93" s="148" customFormat="1" ht="15.6" customHeight="1" thickBot="1" x14ac:dyDescent="0.3">
      <c r="A6"/>
      <c r="B6" s="241"/>
      <c r="C6" s="255"/>
      <c r="D6" s="249"/>
      <c r="E6" s="249"/>
      <c r="F6" s="278"/>
      <c r="G6" s="672" t="s">
        <v>95</v>
      </c>
      <c r="H6" s="672"/>
      <c r="I6" s="238"/>
      <c r="J6" s="238"/>
      <c r="K6" s="238"/>
      <c r="L6" s="238"/>
      <c r="M6" s="238"/>
      <c r="N6" s="238"/>
      <c r="O6" s="280" t="s">
        <v>97</v>
      </c>
      <c r="P6" s="251"/>
      <c r="Q6" s="251"/>
      <c r="R6" s="251"/>
      <c r="S6" s="238"/>
      <c r="T6" s="238"/>
      <c r="U6" s="238"/>
      <c r="V6" s="672" t="s">
        <v>95</v>
      </c>
      <c r="W6" s="672"/>
      <c r="X6" s="281"/>
      <c r="Y6" s="301"/>
      <c r="Z6" s="249"/>
      <c r="AA6" s="261"/>
      <c r="AB6" s="25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ht="15.6" customHeight="1" thickBot="1" x14ac:dyDescent="0.3">
      <c r="B7" s="241"/>
      <c r="C7" s="256" t="s">
        <v>200</v>
      </c>
      <c r="D7" s="670" t="s">
        <v>96</v>
      </c>
      <c r="E7" s="671"/>
      <c r="F7" s="21"/>
      <c r="G7" s="668" t="str">
        <f>IF(F8="","",IF(F7=F8,'Reglas Polla'!D31,0))</f>
        <v/>
      </c>
      <c r="H7" s="669"/>
      <c r="I7" s="238"/>
      <c r="J7" s="238"/>
      <c r="K7" s="238"/>
      <c r="L7" s="238"/>
      <c r="M7" s="238"/>
      <c r="N7" s="238"/>
      <c r="O7" s="690">
        <f>SUM(V7,V15,V23,V31,S27,P19,S11,M19,G31,J27,G23,G15,G7,J11,P14,P27)</f>
        <v>0</v>
      </c>
      <c r="P7" s="251"/>
      <c r="Q7" s="251"/>
      <c r="R7" s="251"/>
      <c r="S7" s="238"/>
      <c r="T7" s="238"/>
      <c r="U7" s="238"/>
      <c r="V7" s="668" t="str">
        <f>IF(X8="","",IF(X7=X8,'Reglas Polla'!D31,0))</f>
        <v/>
      </c>
      <c r="W7" s="669"/>
      <c r="X7" s="19"/>
      <c r="Y7" s="670" t="s">
        <v>96</v>
      </c>
      <c r="Z7" s="670"/>
      <c r="AA7" s="285" t="s">
        <v>192</v>
      </c>
      <c r="AB7" s="254"/>
    </row>
    <row r="8" spans="1:93" ht="15.6" customHeight="1" thickBot="1" x14ac:dyDescent="0.3">
      <c r="B8" s="241"/>
      <c r="C8" s="257" t="s">
        <v>201</v>
      </c>
      <c r="D8" s="670" t="s">
        <v>8</v>
      </c>
      <c r="E8" s="671"/>
      <c r="F8" s="153" t="str">
        <f>IF(OR(D5="",D10=""),"",IF(D5&gt;D10,C5,IF(D10&gt;D5,C10,IF(OR(E5="",E10=""),"",IF(E5&gt;E10,C5,IF(E10&gt;E5,C10,""))))))</f>
        <v/>
      </c>
      <c r="G8" s="12"/>
      <c r="H8" s="12"/>
      <c r="I8" s="238"/>
      <c r="J8" s="238"/>
      <c r="K8" s="238"/>
      <c r="L8" s="238"/>
      <c r="M8" s="238"/>
      <c r="N8" s="238"/>
      <c r="O8" s="691"/>
      <c r="P8" s="251"/>
      <c r="Q8" s="251"/>
      <c r="R8" s="251"/>
      <c r="S8" s="238"/>
      <c r="T8" s="238"/>
      <c r="U8" s="238"/>
      <c r="V8" s="11"/>
      <c r="W8" s="12"/>
      <c r="X8" s="150" t="str">
        <f>IF(OR(Y5="",Y10=""),"",IF(Y5&gt;Y10,AA5,IF(Y10&gt;Y5,AA10,IF(OR(Z5="",Z10=""),"",IF(Z5&gt;Z10,AA5,IF(Z10&gt;Z5,AA10,""))))))</f>
        <v/>
      </c>
      <c r="Y8" s="670" t="s">
        <v>8</v>
      </c>
      <c r="Z8" s="670"/>
      <c r="AA8" s="257" t="s">
        <v>203</v>
      </c>
      <c r="AB8" s="254"/>
    </row>
    <row r="9" spans="1:93" s="148" customFormat="1" ht="15.6" customHeight="1" thickBot="1" x14ac:dyDescent="0.3">
      <c r="A9"/>
      <c r="B9" s="241"/>
      <c r="C9" s="258"/>
      <c r="D9" s="259"/>
      <c r="E9" s="260"/>
      <c r="F9" s="261"/>
      <c r="G9" s="252" t="s">
        <v>50</v>
      </c>
      <c r="H9" s="262" t="s">
        <v>94</v>
      </c>
      <c r="I9" s="238"/>
      <c r="J9" s="238"/>
      <c r="K9" s="238"/>
      <c r="L9" s="238"/>
      <c r="M9" s="238"/>
      <c r="N9" s="279"/>
      <c r="O9" s="305"/>
      <c r="P9" s="251"/>
      <c r="Q9" s="251"/>
      <c r="R9" s="251"/>
      <c r="S9" s="238"/>
      <c r="T9" s="238"/>
      <c r="U9" s="279"/>
      <c r="V9" s="252" t="s">
        <v>50</v>
      </c>
      <c r="W9" s="252" t="s">
        <v>94</v>
      </c>
      <c r="X9" s="261"/>
      <c r="Y9" s="302"/>
      <c r="Z9" s="270"/>
      <c r="AA9" s="268"/>
      <c r="AB9" s="25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ht="15.6" customHeight="1" thickBot="1" x14ac:dyDescent="0.3">
      <c r="B10" s="242" t="s">
        <v>34</v>
      </c>
      <c r="C10" s="153" t="str">
        <f>'Grupo B'!$S$17</f>
        <v>Gales</v>
      </c>
      <c r="D10" s="12"/>
      <c r="E10" s="16"/>
      <c r="F10" s="263"/>
      <c r="G10" s="264"/>
      <c r="H10" s="265"/>
      <c r="I10" s="238"/>
      <c r="J10" s="672" t="s">
        <v>95</v>
      </c>
      <c r="K10" s="672"/>
      <c r="L10" s="238"/>
      <c r="M10" s="238"/>
      <c r="N10" s="279"/>
      <c r="O10" s="305"/>
      <c r="P10" s="251"/>
      <c r="Q10" s="251"/>
      <c r="R10" s="251"/>
      <c r="S10" s="672" t="s">
        <v>95</v>
      </c>
      <c r="T10" s="672"/>
      <c r="U10" s="294"/>
      <c r="V10" s="264"/>
      <c r="W10" s="264"/>
      <c r="X10" s="292"/>
      <c r="Y10" s="11"/>
      <c r="Z10" s="12"/>
      <c r="AA10" s="149" t="str">
        <f>'Grupo A'!$S$17</f>
        <v>Senegal</v>
      </c>
      <c r="AB10" s="300" t="s">
        <v>52</v>
      </c>
    </row>
    <row r="11" spans="1:93" ht="15.6" customHeight="1" thickBot="1" x14ac:dyDescent="0.3">
      <c r="B11" s="241"/>
      <c r="C11" s="249"/>
      <c r="D11" s="252" t="s">
        <v>50</v>
      </c>
      <c r="E11" s="252" t="s">
        <v>94</v>
      </c>
      <c r="F11" s="256" t="s">
        <v>198</v>
      </c>
      <c r="G11" s="670" t="s">
        <v>96</v>
      </c>
      <c r="H11" s="671"/>
      <c r="I11" s="22"/>
      <c r="J11" s="668" t="str">
        <f>IF(I12="","",IF(I11=I12,'Reglas Polla'!D32,0))</f>
        <v/>
      </c>
      <c r="K11" s="669"/>
      <c r="L11" s="238"/>
      <c r="M11" s="238"/>
      <c r="N11" s="279"/>
      <c r="O11" s="305"/>
      <c r="P11" s="251"/>
      <c r="Q11" s="251"/>
      <c r="R11" s="251"/>
      <c r="S11" s="668" t="str">
        <f>IF(U12="","",IF(U11=U12,'Reglas Polla'!D32,0))</f>
        <v/>
      </c>
      <c r="T11" s="669"/>
      <c r="U11" s="19"/>
      <c r="V11" s="670" t="s">
        <v>96</v>
      </c>
      <c r="W11" s="670"/>
      <c r="X11" s="256" t="s">
        <v>192</v>
      </c>
      <c r="Y11" s="249" t="s">
        <v>50</v>
      </c>
      <c r="Z11" s="249" t="s">
        <v>94</v>
      </c>
      <c r="AA11" s="253"/>
      <c r="AB11" s="254"/>
    </row>
    <row r="12" spans="1:93" ht="15.6" customHeight="1" thickBot="1" x14ac:dyDescent="0.3">
      <c r="B12" s="241"/>
      <c r="C12" s="249"/>
      <c r="D12" s="252" t="s">
        <v>50</v>
      </c>
      <c r="E12" s="252" t="s">
        <v>94</v>
      </c>
      <c r="F12" s="257" t="s">
        <v>205</v>
      </c>
      <c r="G12" s="670" t="s">
        <v>8</v>
      </c>
      <c r="H12" s="671"/>
      <c r="I12" s="153" t="str">
        <f>IF(OR(G8="",G16=""),"",IF(G8&gt;G16,F8,IF(G16&gt;G8,F16,IF(OR(H8="",H16=""),"",IF(H8&gt;H16,F8,IF(H16&gt;H8,F16,""))))))</f>
        <v/>
      </c>
      <c r="J12" s="12"/>
      <c r="K12" s="12"/>
      <c r="L12" s="238"/>
      <c r="M12" s="238"/>
      <c r="N12" s="279"/>
      <c r="O12" s="687" t="s">
        <v>41</v>
      </c>
      <c r="P12" s="251"/>
      <c r="Q12" s="251"/>
      <c r="R12" s="282"/>
      <c r="S12" s="13"/>
      <c r="T12" s="12"/>
      <c r="U12" s="150" t="str">
        <f>IF(OR(V8="",V16=""),"",IF(V8&gt;V16,X8,IF(V16&gt;V8,X16,IF(OR(W8="",W16=""),"",IF(W8&gt;W16,X8,IF(W16&gt;W8,X16,""))))))</f>
        <v/>
      </c>
      <c r="V12" s="670" t="s">
        <v>8</v>
      </c>
      <c r="W12" s="670"/>
      <c r="X12" s="257" t="s">
        <v>206</v>
      </c>
      <c r="Y12" s="249" t="s">
        <v>50</v>
      </c>
      <c r="Z12" s="249" t="s">
        <v>94</v>
      </c>
      <c r="AA12" s="253"/>
      <c r="AB12" s="254"/>
    </row>
    <row r="13" spans="1:93" ht="15.6" customHeight="1" thickBot="1" x14ac:dyDescent="0.3">
      <c r="B13" s="242" t="s">
        <v>35</v>
      </c>
      <c r="C13" s="153" t="str">
        <f>'Grupo C'!$S$16</f>
        <v>Argentina</v>
      </c>
      <c r="D13" s="12"/>
      <c r="E13" s="12"/>
      <c r="F13" s="263"/>
      <c r="G13" s="266"/>
      <c r="H13" s="265"/>
      <c r="I13" s="261"/>
      <c r="J13" s="252" t="s">
        <v>50</v>
      </c>
      <c r="K13" s="262" t="s">
        <v>94</v>
      </c>
      <c r="L13" s="238"/>
      <c r="M13" s="238"/>
      <c r="N13" s="279"/>
      <c r="O13" s="688"/>
      <c r="P13" s="683" t="s">
        <v>95</v>
      </c>
      <c r="Q13" s="683"/>
      <c r="R13" s="282"/>
      <c r="S13" s="271" t="s">
        <v>50</v>
      </c>
      <c r="T13" s="252" t="s">
        <v>94</v>
      </c>
      <c r="U13" s="261"/>
      <c r="V13" s="295"/>
      <c r="W13" s="266"/>
      <c r="X13" s="292"/>
      <c r="Y13" s="11"/>
      <c r="Z13" s="12"/>
      <c r="AA13" s="149" t="str">
        <f>'Grupo D'!$S$16</f>
        <v>Francia</v>
      </c>
      <c r="AB13" s="300" t="s">
        <v>43</v>
      </c>
    </row>
    <row r="14" spans="1:93" ht="15.6" customHeight="1" thickBot="1" x14ac:dyDescent="0.3">
      <c r="B14" s="241"/>
      <c r="C14" s="261"/>
      <c r="D14" s="249"/>
      <c r="E14" s="267"/>
      <c r="F14" s="258"/>
      <c r="G14" s="672" t="s">
        <v>95</v>
      </c>
      <c r="H14" s="674"/>
      <c r="I14" s="263"/>
      <c r="J14" s="249"/>
      <c r="K14" s="265"/>
      <c r="L14" s="238"/>
      <c r="M14" s="670" t="s">
        <v>8</v>
      </c>
      <c r="N14" s="670"/>
      <c r="O14" s="152" t="str">
        <f>IF(OR(M20="",P20=""),"",IF(M20&gt;P20,L20,IF(P20&gt;M20,R20,IF(OR(N20="",Q20=""),"",IF(N20&gt;Q20,L20,IF(Q20&gt;N20,R20,""))))))</f>
        <v/>
      </c>
      <c r="P14" s="678" t="str">
        <f>IF(O14="","",IF(O15=O14,'Reglas Polla'!D35,0))</f>
        <v/>
      </c>
      <c r="Q14" s="679"/>
      <c r="R14" s="282"/>
      <c r="S14" s="249"/>
      <c r="T14" s="249"/>
      <c r="U14" s="292"/>
      <c r="V14" s="682" t="s">
        <v>95</v>
      </c>
      <c r="W14" s="683"/>
      <c r="X14" s="268"/>
      <c r="Y14" s="301"/>
      <c r="Z14" s="249"/>
      <c r="AA14" s="261"/>
      <c r="AB14" s="254"/>
    </row>
    <row r="15" spans="1:93" ht="15.6" customHeight="1" thickBot="1" x14ac:dyDescent="0.3">
      <c r="B15" s="241"/>
      <c r="C15" s="256" t="s">
        <v>195</v>
      </c>
      <c r="D15" s="670" t="s">
        <v>96</v>
      </c>
      <c r="E15" s="671"/>
      <c r="F15" s="21"/>
      <c r="G15" s="668" t="str">
        <f>IF(F16="","",IF(F15=F16,'Reglas Polla'!D31,0))</f>
        <v/>
      </c>
      <c r="H15" s="669"/>
      <c r="I15" s="263"/>
      <c r="J15" s="249"/>
      <c r="K15" s="265"/>
      <c r="L15" s="238"/>
      <c r="M15" s="670" t="s">
        <v>96</v>
      </c>
      <c r="N15" s="670"/>
      <c r="O15" s="18"/>
      <c r="P15" s="680" t="str">
        <f>IF(O16="","",IF(O15=O16,20,0))</f>
        <v/>
      </c>
      <c r="Q15" s="681"/>
      <c r="R15" s="282"/>
      <c r="S15" s="249"/>
      <c r="T15" s="249"/>
      <c r="U15" s="292"/>
      <c r="V15" s="676" t="str">
        <f>IF(X16="","",IF(X15=X16,'Reglas Polla'!D31,0))</f>
        <v/>
      </c>
      <c r="W15" s="677"/>
      <c r="X15" s="20"/>
      <c r="Y15" s="670" t="s">
        <v>96</v>
      </c>
      <c r="Z15" s="670"/>
      <c r="AA15" s="256" t="s">
        <v>193</v>
      </c>
      <c r="AB15" s="254"/>
    </row>
    <row r="16" spans="1:93" ht="15.6" customHeight="1" thickBot="1" x14ac:dyDescent="0.35">
      <c r="B16" s="241"/>
      <c r="C16" s="257" t="s">
        <v>201</v>
      </c>
      <c r="D16" s="670" t="s">
        <v>8</v>
      </c>
      <c r="E16" s="671"/>
      <c r="F16" s="153" t="str">
        <f>IF(OR(D13="",D18=""),"",IF(D13&gt;D18,C13,IF(D18&gt;D13,C18,IF(OR(E13="",E18=""),"",IF(E13&gt;E18,C13,IF(E18&gt;E13,C18,""))))))</f>
        <v/>
      </c>
      <c r="G16" s="12"/>
      <c r="H16" s="12"/>
      <c r="I16" s="263"/>
      <c r="J16" s="249"/>
      <c r="K16" s="265"/>
      <c r="L16" s="238"/>
      <c r="M16" s="670"/>
      <c r="N16" s="670"/>
      <c r="O16" s="287"/>
      <c r="P16" s="293"/>
      <c r="Q16" s="251"/>
      <c r="R16" s="282"/>
      <c r="S16" s="249"/>
      <c r="T16" s="249"/>
      <c r="U16" s="292"/>
      <c r="V16" s="11"/>
      <c r="W16" s="12"/>
      <c r="X16" s="150" t="str">
        <f>IF(OR(Y13="",Y18=""),"",IF(Y13&gt;Y18,AA13,IF(Y18&gt;Y13,AA18,IF(OR(Z13="",Z18=""),"",IF(Z13&gt;Z18,AA13,IF(Z18&gt;Z13,AA18,""))))))</f>
        <v/>
      </c>
      <c r="Y16" s="670" t="s">
        <v>8</v>
      </c>
      <c r="Z16" s="670"/>
      <c r="AA16" s="257" t="s">
        <v>203</v>
      </c>
      <c r="AB16" s="254"/>
    </row>
    <row r="17" spans="2:28" ht="15.6" customHeight="1" thickBot="1" x14ac:dyDescent="0.3">
      <c r="B17" s="241"/>
      <c r="C17" s="268"/>
      <c r="D17" s="249"/>
      <c r="E17" s="269"/>
      <c r="F17" s="277"/>
      <c r="G17" s="252" t="s">
        <v>50</v>
      </c>
      <c r="H17" s="252" t="s">
        <v>94</v>
      </c>
      <c r="I17" s="263"/>
      <c r="J17" s="249"/>
      <c r="K17" s="265"/>
      <c r="L17" s="238"/>
      <c r="M17" s="238"/>
      <c r="N17" s="279"/>
      <c r="O17" s="279"/>
      <c r="P17" s="251"/>
      <c r="Q17" s="251"/>
      <c r="R17" s="282"/>
      <c r="S17" s="249"/>
      <c r="T17" s="249"/>
      <c r="U17" s="292"/>
      <c r="V17" s="252" t="s">
        <v>50</v>
      </c>
      <c r="W17" s="252" t="s">
        <v>94</v>
      </c>
      <c r="X17" s="296"/>
      <c r="Y17" s="303"/>
      <c r="Z17" s="249"/>
      <c r="AA17" s="268"/>
      <c r="AB17" s="254"/>
    </row>
    <row r="18" spans="2:28" ht="15.6" customHeight="1" thickBot="1" x14ac:dyDescent="0.3">
      <c r="B18" s="242" t="s">
        <v>36</v>
      </c>
      <c r="C18" s="153" t="str">
        <f>'Grupo D'!$S$17</f>
        <v>Túnez</v>
      </c>
      <c r="D18" s="12"/>
      <c r="E18" s="12"/>
      <c r="F18" s="238"/>
      <c r="G18" s="238"/>
      <c r="H18" s="238"/>
      <c r="I18" s="263"/>
      <c r="J18" s="249"/>
      <c r="K18" s="265"/>
      <c r="L18" s="238"/>
      <c r="M18" s="672" t="s">
        <v>95</v>
      </c>
      <c r="N18" s="674"/>
      <c r="O18" s="256" t="s">
        <v>198</v>
      </c>
      <c r="P18" s="684" t="s">
        <v>95</v>
      </c>
      <c r="Q18" s="672"/>
      <c r="R18" s="281"/>
      <c r="S18" s="264"/>
      <c r="T18" s="249"/>
      <c r="U18" s="292"/>
      <c r="V18" s="238"/>
      <c r="W18" s="238"/>
      <c r="X18" s="238"/>
      <c r="Y18" s="11"/>
      <c r="Z18" s="12"/>
      <c r="AA18" s="149" t="str">
        <f>'Grupo C'!$S$17</f>
        <v>México</v>
      </c>
      <c r="AB18" s="300" t="s">
        <v>44</v>
      </c>
    </row>
    <row r="19" spans="2:28" ht="15.6" customHeight="1" thickBot="1" x14ac:dyDescent="0.3">
      <c r="B19" s="241"/>
      <c r="C19" s="249"/>
      <c r="D19" s="252" t="s">
        <v>50</v>
      </c>
      <c r="E19" s="252" t="s">
        <v>94</v>
      </c>
      <c r="F19" s="238"/>
      <c r="G19" s="238"/>
      <c r="H19" s="238"/>
      <c r="I19" s="256" t="s">
        <v>198</v>
      </c>
      <c r="J19" s="670" t="s">
        <v>96</v>
      </c>
      <c r="K19" s="671"/>
      <c r="L19" s="21"/>
      <c r="M19" s="668" t="str">
        <f>IF(L20="","",IF(L19=L20,'Reglas Polla'!D33,0))</f>
        <v/>
      </c>
      <c r="N19" s="669"/>
      <c r="O19" s="257" t="s">
        <v>208</v>
      </c>
      <c r="P19" s="668" t="str">
        <f>IF(R20="","",IF(R19=R20,'Reglas Polla'!D33,0))</f>
        <v/>
      </c>
      <c r="Q19" s="669"/>
      <c r="R19" s="20"/>
      <c r="S19" s="670" t="s">
        <v>96</v>
      </c>
      <c r="T19" s="670"/>
      <c r="U19" s="256" t="s">
        <v>192</v>
      </c>
      <c r="V19" s="238"/>
      <c r="W19" s="238"/>
      <c r="X19" s="238"/>
      <c r="Y19" s="249" t="s">
        <v>50</v>
      </c>
      <c r="Z19" s="249" t="s">
        <v>94</v>
      </c>
      <c r="AA19" s="253"/>
      <c r="AB19" s="254"/>
    </row>
    <row r="20" spans="2:28" ht="15.6" customHeight="1" thickBot="1" x14ac:dyDescent="0.3">
      <c r="B20" s="241"/>
      <c r="C20" s="249"/>
      <c r="D20" s="252" t="s">
        <v>50</v>
      </c>
      <c r="E20" s="252" t="s">
        <v>94</v>
      </c>
      <c r="F20" s="238"/>
      <c r="G20" s="238"/>
      <c r="H20" s="238"/>
      <c r="I20" s="257" t="s">
        <v>207</v>
      </c>
      <c r="J20" s="670" t="s">
        <v>8</v>
      </c>
      <c r="K20" s="671"/>
      <c r="L20" s="153" t="str">
        <f>IF(OR(J12="",J28=""),"",IF(J12&gt;J28,I12,IF(J28&gt;J12,I28,IF(OR(H8="",H16=""),"",IF(K12&gt;K28,I12,IF(K28&gt;K12,I28,""))))))</f>
        <v/>
      </c>
      <c r="M20" s="12"/>
      <c r="N20" s="12"/>
      <c r="O20" s="306"/>
      <c r="P20" s="11"/>
      <c r="Q20" s="12"/>
      <c r="R20" s="150" t="str">
        <f>IF(OR(S12="",S28=""),"",IF(S12&gt;S28,U12,IF(S28&gt;S12,U28,IF(OR(T12="",T28=""),"",IF(T12&gt;T28,U12,IF(T28&gt;T12,U28,""))))))</f>
        <v/>
      </c>
      <c r="S20" s="670" t="s">
        <v>8</v>
      </c>
      <c r="T20" s="670"/>
      <c r="U20" s="257" t="s">
        <v>210</v>
      </c>
      <c r="V20" s="238"/>
      <c r="W20" s="238"/>
      <c r="X20" s="238"/>
      <c r="Y20" s="249" t="s">
        <v>50</v>
      </c>
      <c r="Z20" s="249" t="s">
        <v>94</v>
      </c>
      <c r="AA20" s="253"/>
      <c r="AB20" s="254"/>
    </row>
    <row r="21" spans="2:28" ht="15.6" customHeight="1" thickBot="1" x14ac:dyDescent="0.3">
      <c r="B21" s="242" t="s">
        <v>37</v>
      </c>
      <c r="C21" s="153" t="str">
        <f>'Grupo E'!$S$16</f>
        <v>España</v>
      </c>
      <c r="D21" s="12"/>
      <c r="E21" s="12"/>
      <c r="F21" s="238"/>
      <c r="G21" s="238"/>
      <c r="H21" s="238"/>
      <c r="I21" s="256"/>
      <c r="J21" s="249"/>
      <c r="K21" s="265"/>
      <c r="L21" s="238"/>
      <c r="M21" s="252" t="s">
        <v>50</v>
      </c>
      <c r="N21" s="252" t="s">
        <v>94</v>
      </c>
      <c r="O21" s="266"/>
      <c r="P21" s="252" t="s">
        <v>50</v>
      </c>
      <c r="Q21" s="252" t="s">
        <v>94</v>
      </c>
      <c r="R21" s="288"/>
      <c r="S21" s="266"/>
      <c r="T21" s="249"/>
      <c r="U21" s="292"/>
      <c r="V21" s="238"/>
      <c r="W21" s="238"/>
      <c r="X21" s="238"/>
      <c r="Y21" s="11"/>
      <c r="Z21" s="12"/>
      <c r="AA21" s="149" t="str">
        <f>'Grupo F'!$S$16</f>
        <v>Bélgica</v>
      </c>
      <c r="AB21" s="300" t="s">
        <v>45</v>
      </c>
    </row>
    <row r="22" spans="2:28" ht="15.6" customHeight="1" thickBot="1" x14ac:dyDescent="0.3">
      <c r="B22" s="241"/>
      <c r="C22" s="261"/>
      <c r="D22" s="249"/>
      <c r="E22" s="249"/>
      <c r="F22" s="278"/>
      <c r="G22" s="672" t="s">
        <v>95</v>
      </c>
      <c r="H22" s="672"/>
      <c r="I22" s="263"/>
      <c r="J22" s="249"/>
      <c r="K22" s="265"/>
      <c r="L22" s="238"/>
      <c r="M22" s="238"/>
      <c r="N22" s="238"/>
      <c r="O22" s="251"/>
      <c r="P22" s="238"/>
      <c r="Q22" s="238"/>
      <c r="R22" s="282"/>
      <c r="S22" s="249"/>
      <c r="T22" s="249"/>
      <c r="U22" s="292"/>
      <c r="V22" s="672" t="s">
        <v>95</v>
      </c>
      <c r="W22" s="672"/>
      <c r="X22" s="281"/>
      <c r="Y22" s="301"/>
      <c r="Z22" s="249"/>
      <c r="AA22" s="261"/>
      <c r="AB22" s="254"/>
    </row>
    <row r="23" spans="2:28" ht="15.6" customHeight="1" thickBot="1" x14ac:dyDescent="0.3">
      <c r="B23" s="241"/>
      <c r="C23" s="256" t="s">
        <v>199</v>
      </c>
      <c r="D23" s="670" t="s">
        <v>96</v>
      </c>
      <c r="E23" s="671"/>
      <c r="G23" s="668" t="str">
        <f>IF(F24="","",IF(F23=F24,'Reglas Polla'!D31,0))</f>
        <v/>
      </c>
      <c r="H23" s="669"/>
      <c r="I23" s="263"/>
      <c r="J23" s="249"/>
      <c r="K23" s="265"/>
      <c r="L23" s="238"/>
      <c r="M23" s="238"/>
      <c r="N23" s="238"/>
      <c r="O23" s="251"/>
      <c r="P23" s="238"/>
      <c r="Q23" s="238"/>
      <c r="R23" s="282"/>
      <c r="S23" s="238"/>
      <c r="T23" s="238"/>
      <c r="U23" s="292"/>
      <c r="V23" s="668" t="str">
        <f>IF(X24="","",IF(X23=X24,'Reglas Polla'!D31,0))</f>
        <v/>
      </c>
      <c r="W23" s="669"/>
      <c r="X23" s="20"/>
      <c r="Y23" s="670" t="s">
        <v>96</v>
      </c>
      <c r="Z23" s="670"/>
      <c r="AA23" s="285" t="s">
        <v>197</v>
      </c>
      <c r="AB23" s="254"/>
    </row>
    <row r="24" spans="2:28" ht="15.6" customHeight="1" thickBot="1" x14ac:dyDescent="0.3">
      <c r="B24" s="241"/>
      <c r="C24" s="257" t="s">
        <v>202</v>
      </c>
      <c r="D24" s="670" t="s">
        <v>8</v>
      </c>
      <c r="E24" s="671"/>
      <c r="F24" s="153" t="str">
        <f>IF(OR(D21="",D26=""),"",IF(D21&gt;D26,C21,IF(D26&gt;D21,C26,IF(OR(E21="",E26=""),"",IF(E21&gt;E26,C21,IF(E26&gt;E21,C26,""))))))</f>
        <v/>
      </c>
      <c r="G24" s="12"/>
      <c r="H24" s="15"/>
      <c r="I24" s="263"/>
      <c r="J24" s="249"/>
      <c r="K24" s="265"/>
      <c r="L24" s="238"/>
      <c r="M24" s="238"/>
      <c r="N24" s="238"/>
      <c r="O24" s="251"/>
      <c r="P24" s="238"/>
      <c r="Q24" s="238"/>
      <c r="R24" s="282"/>
      <c r="S24" s="238"/>
      <c r="T24" s="238"/>
      <c r="U24" s="292"/>
      <c r="V24" s="14"/>
      <c r="W24" s="15"/>
      <c r="X24" s="150" t="str">
        <f>IF(OR(Y21="",Y26=""),"",IF(Y21&gt;Y26,AA21,IF(Y26&gt;Y21,AA26,IF(OR(Z21="",Z26=""),"",IF(Z21&gt;Z26,AA21,IF(Z26&gt;Z21,AA26,""))))))</f>
        <v/>
      </c>
      <c r="Y24" s="670" t="s">
        <v>8</v>
      </c>
      <c r="Z24" s="670"/>
      <c r="AA24" s="257" t="s">
        <v>204</v>
      </c>
      <c r="AB24" s="254"/>
    </row>
    <row r="25" spans="2:28" ht="15.6" customHeight="1" thickBot="1" x14ac:dyDescent="0.3">
      <c r="B25" s="241"/>
      <c r="C25" s="268"/>
      <c r="D25" s="270"/>
      <c r="E25" s="260"/>
      <c r="F25" s="261"/>
      <c r="G25" s="271" t="s">
        <v>50</v>
      </c>
      <c r="H25" s="272" t="s">
        <v>94</v>
      </c>
      <c r="I25" s="263"/>
      <c r="J25" s="249"/>
      <c r="K25" s="265"/>
      <c r="L25" s="238"/>
      <c r="M25" s="238"/>
      <c r="N25" s="238"/>
      <c r="O25" s="685" t="s">
        <v>48</v>
      </c>
      <c r="P25" s="251"/>
      <c r="Q25" s="251"/>
      <c r="R25" s="282"/>
      <c r="S25" s="238"/>
      <c r="T25" s="238"/>
      <c r="U25" s="292"/>
      <c r="V25" s="297" t="s">
        <v>50</v>
      </c>
      <c r="W25" s="298" t="s">
        <v>94</v>
      </c>
      <c r="X25" s="261"/>
      <c r="Y25" s="304"/>
      <c r="Z25" s="270"/>
      <c r="AA25" s="268"/>
      <c r="AB25" s="254"/>
    </row>
    <row r="26" spans="2:28" ht="15.6" customHeight="1" thickBot="1" x14ac:dyDescent="0.3">
      <c r="B26" s="242" t="s">
        <v>38</v>
      </c>
      <c r="C26" s="153" t="str">
        <f>'Grupo F'!$S$17</f>
        <v>Croacia</v>
      </c>
      <c r="D26" s="12"/>
      <c r="E26" s="16"/>
      <c r="F26" s="263"/>
      <c r="G26" s="264"/>
      <c r="H26" s="265"/>
      <c r="I26" s="258"/>
      <c r="J26" s="672" t="s">
        <v>95</v>
      </c>
      <c r="K26" s="674"/>
      <c r="L26" s="238"/>
      <c r="M26" s="238"/>
      <c r="N26" s="238"/>
      <c r="O26" s="686"/>
      <c r="P26" s="672" t="s">
        <v>95</v>
      </c>
      <c r="Q26" s="672"/>
      <c r="R26" s="282"/>
      <c r="S26" s="672" t="s">
        <v>95</v>
      </c>
      <c r="T26" s="672"/>
      <c r="U26" s="268"/>
      <c r="V26" s="299"/>
      <c r="W26" s="264"/>
      <c r="X26" s="292"/>
      <c r="Y26" s="11"/>
      <c r="Z26" s="12"/>
      <c r="AA26" s="149" t="str">
        <f>'Grupo E'!$S$17</f>
        <v>Japón</v>
      </c>
      <c r="AB26" s="300" t="s">
        <v>46</v>
      </c>
    </row>
    <row r="27" spans="2:28" ht="15.6" customHeight="1" thickBot="1" x14ac:dyDescent="0.3">
      <c r="B27" s="241"/>
      <c r="C27" s="249"/>
      <c r="D27" s="252" t="s">
        <v>50</v>
      </c>
      <c r="E27" s="252" t="s">
        <v>94</v>
      </c>
      <c r="F27" s="256" t="s">
        <v>197</v>
      </c>
      <c r="G27" s="670" t="s">
        <v>96</v>
      </c>
      <c r="H27" s="671"/>
      <c r="I27" s="21"/>
      <c r="J27" s="668" t="str">
        <f>IF(I28="","",IF(I27=I28,'Reglas Polla'!D32,0))</f>
        <v/>
      </c>
      <c r="K27" s="669"/>
      <c r="L27" s="238"/>
      <c r="M27" s="670" t="s">
        <v>8</v>
      </c>
      <c r="N27" s="670"/>
      <c r="O27" s="155" t="str">
        <f>IF(OR(M33="",P33=""),"",IF(M33&gt;P33,L33,IF(P33&gt;M33,R33,IF(OR(N33="",Q33=""),"",IF(N33&gt;Q33,L33,IF(Q33&gt;N33,R33,""))))))</f>
        <v/>
      </c>
      <c r="P27" s="678" t="str">
        <f>IF(O27="","",IF(O28=O27,'Reglas Polla'!D34,0))</f>
        <v/>
      </c>
      <c r="Q27" s="679"/>
      <c r="R27" s="282"/>
      <c r="S27" s="668" t="str">
        <f>IF(U28="","",IF(U27=U28,'Reglas Polla'!D32,0))</f>
        <v/>
      </c>
      <c r="T27" s="669"/>
      <c r="U27" s="19"/>
      <c r="V27" s="689" t="s">
        <v>96</v>
      </c>
      <c r="W27" s="670"/>
      <c r="X27" s="256" t="s">
        <v>193</v>
      </c>
      <c r="Y27" s="249" t="s">
        <v>50</v>
      </c>
      <c r="Z27" s="249" t="s">
        <v>94</v>
      </c>
      <c r="AA27" s="253"/>
      <c r="AB27" s="254"/>
    </row>
    <row r="28" spans="2:28" ht="15.6" customHeight="1" thickBot="1" x14ac:dyDescent="0.3">
      <c r="B28" s="241"/>
      <c r="C28" s="249"/>
      <c r="D28" s="252" t="s">
        <v>50</v>
      </c>
      <c r="E28" s="252" t="s">
        <v>94</v>
      </c>
      <c r="F28" s="257" t="s">
        <v>205</v>
      </c>
      <c r="G28" s="670" t="s">
        <v>8</v>
      </c>
      <c r="H28" s="671"/>
      <c r="I28" s="153" t="str">
        <f>IF(OR(G24="",G32=""),"",IF(G24&gt;G32,F24,IF(G32&gt;G24,F32,IF(OR(H24="",H32=""),"",IF(H24&gt;H32,F24,IF(H32&gt;H24,F32,""))))))</f>
        <v/>
      </c>
      <c r="J28" s="12"/>
      <c r="K28" s="12"/>
      <c r="L28" s="238"/>
      <c r="M28" s="670" t="s">
        <v>96</v>
      </c>
      <c r="N28" s="670"/>
      <c r="O28" s="17"/>
      <c r="P28" s="680" t="str">
        <f>IF(O29="","",IF(O28=O29,20,0))</f>
        <v/>
      </c>
      <c r="Q28" s="681"/>
      <c r="R28" s="282"/>
      <c r="S28" s="13"/>
      <c r="T28" s="12"/>
      <c r="U28" s="150" t="str">
        <f>IF(OR(V24="",V32=""),"",IF(V24&gt;V32,X24,IF(V32&gt;V24,X32,IF(OR(W24="",W32=""),"",IF(W24&gt;W32,X24,IF(W32&gt;W24,X32,""))))))</f>
        <v/>
      </c>
      <c r="V28" s="670" t="s">
        <v>8</v>
      </c>
      <c r="W28" s="670"/>
      <c r="X28" s="257" t="s">
        <v>206</v>
      </c>
      <c r="Y28" s="249" t="s">
        <v>50</v>
      </c>
      <c r="Z28" s="249" t="s">
        <v>94</v>
      </c>
      <c r="AA28" s="253"/>
      <c r="AB28" s="254"/>
    </row>
    <row r="29" spans="2:28" ht="15.6" customHeight="1" thickBot="1" x14ac:dyDescent="0.35">
      <c r="B29" s="242" t="s">
        <v>39</v>
      </c>
      <c r="C29" s="153" t="str">
        <f>'Grupo G'!$S$16</f>
        <v>Brasil</v>
      </c>
      <c r="D29" s="12"/>
      <c r="E29" s="12"/>
      <c r="F29" s="263"/>
      <c r="G29" s="266"/>
      <c r="H29" s="265"/>
      <c r="I29" s="238"/>
      <c r="J29" s="252" t="s">
        <v>50</v>
      </c>
      <c r="K29" s="252" t="s">
        <v>94</v>
      </c>
      <c r="L29" s="238"/>
      <c r="M29" s="238"/>
      <c r="N29" s="279"/>
      <c r="O29" s="284"/>
      <c r="P29" s="251"/>
      <c r="Q29" s="251"/>
      <c r="R29" s="251"/>
      <c r="S29" s="252" t="s">
        <v>50</v>
      </c>
      <c r="T29" s="252" t="s">
        <v>94</v>
      </c>
      <c r="U29" s="290"/>
      <c r="V29" s="266"/>
      <c r="W29" s="266"/>
      <c r="X29" s="292"/>
      <c r="Y29" s="11"/>
      <c r="Z29" s="12"/>
      <c r="AA29" s="149" t="str">
        <f>'Grupo H'!$S$16</f>
        <v>Portugal</v>
      </c>
      <c r="AB29" s="300" t="s">
        <v>47</v>
      </c>
    </row>
    <row r="30" spans="2:28" ht="15.6" customHeight="1" thickBot="1" x14ac:dyDescent="0.3">
      <c r="B30" s="243"/>
      <c r="C30" s="261"/>
      <c r="D30" s="249"/>
      <c r="E30" s="267"/>
      <c r="F30" s="258"/>
      <c r="G30" s="672" t="s">
        <v>95</v>
      </c>
      <c r="H30" s="674"/>
      <c r="I30" s="238"/>
      <c r="J30" s="238"/>
      <c r="K30" s="238"/>
      <c r="L30" s="238"/>
      <c r="M30" s="238"/>
      <c r="N30" s="279"/>
      <c r="O30" s="285" t="s">
        <v>200</v>
      </c>
      <c r="P30" s="243"/>
      <c r="Q30" s="251"/>
      <c r="R30" s="251"/>
      <c r="S30" s="238"/>
      <c r="T30" s="238"/>
      <c r="U30" s="279"/>
      <c r="V30" s="672" t="s">
        <v>95</v>
      </c>
      <c r="W30" s="672"/>
      <c r="X30" s="268"/>
      <c r="Y30" s="301"/>
      <c r="Z30" s="249"/>
      <c r="AA30" s="261"/>
      <c r="AB30" s="254"/>
    </row>
    <row r="31" spans="2:28" ht="15.6" customHeight="1" thickBot="1" x14ac:dyDescent="0.3">
      <c r="B31" s="243"/>
      <c r="C31" s="256">
        <v>974</v>
      </c>
      <c r="D31" s="670" t="s">
        <v>96</v>
      </c>
      <c r="E31" s="671"/>
      <c r="F31" s="21"/>
      <c r="G31" s="668" t="str">
        <f>IF(F32="","",IF(F31=F32,'Reglas Polla'!D31,0))</f>
        <v/>
      </c>
      <c r="H31" s="669"/>
      <c r="I31" s="238"/>
      <c r="J31" s="238"/>
      <c r="K31" s="238"/>
      <c r="L31" s="238"/>
      <c r="M31" s="670"/>
      <c r="N31" s="673"/>
      <c r="O31" s="257" t="s">
        <v>209</v>
      </c>
      <c r="P31" s="675"/>
      <c r="Q31" s="670"/>
      <c r="R31" s="289"/>
      <c r="S31" s="238"/>
      <c r="T31" s="238"/>
      <c r="U31" s="238"/>
      <c r="V31" s="668" t="str">
        <f>IF(X32="","",IF(X31=X32,'Reglas Polla'!D31,0))</f>
        <v/>
      </c>
      <c r="W31" s="669"/>
      <c r="X31" s="19"/>
      <c r="Y31" s="670" t="s">
        <v>96</v>
      </c>
      <c r="Z31" s="670"/>
      <c r="AA31" s="256" t="s">
        <v>198</v>
      </c>
      <c r="AB31" s="254"/>
    </row>
    <row r="32" spans="2:28" ht="15.6" customHeight="1" thickBot="1" x14ac:dyDescent="0.3">
      <c r="B32" s="243"/>
      <c r="C32" s="257" t="s">
        <v>202</v>
      </c>
      <c r="D32" s="670" t="s">
        <v>8</v>
      </c>
      <c r="E32" s="671"/>
      <c r="F32" s="153" t="str">
        <f>IF(OR(D29="",D34=""),"",IF(D29&gt;D34,C29,IF(D34&gt;D29,C34,IF(OR(E29="",E34=""),"",IF(E29&gt;E34,C29,IF(E34&gt;E29,C34,""))))))</f>
        <v/>
      </c>
      <c r="G32" s="12"/>
      <c r="H32" s="12"/>
      <c r="I32" s="238"/>
      <c r="J32" s="670" t="s">
        <v>96</v>
      </c>
      <c r="K32" s="670"/>
      <c r="L32" s="34"/>
      <c r="M32" s="670"/>
      <c r="N32" s="673"/>
      <c r="O32" s="286"/>
      <c r="P32" s="682"/>
      <c r="Q32" s="692"/>
      <c r="R32" s="20"/>
      <c r="S32" s="670" t="s">
        <v>96</v>
      </c>
      <c r="T32" s="670"/>
      <c r="U32" s="291"/>
      <c r="V32" s="11"/>
      <c r="W32" s="12"/>
      <c r="X32" s="150" t="str">
        <f>IF(OR(Y29="",Y34=""),"",IF(Y29&gt;Y34,AA29,IF(Y34&gt;Y29,AA34,IF(OR(Z29="",Z34=""),"",IF(Z29&gt;Z34,AA29,IF(Z34&gt;Z29,AA34,""))))))</f>
        <v/>
      </c>
      <c r="Y32" s="670" t="s">
        <v>8</v>
      </c>
      <c r="Z32" s="670"/>
      <c r="AA32" s="257" t="s">
        <v>204</v>
      </c>
      <c r="AB32" s="254"/>
    </row>
    <row r="33" spans="1:93" ht="15.6" customHeight="1" thickBot="1" x14ac:dyDescent="0.3">
      <c r="B33" s="243"/>
      <c r="C33" s="258"/>
      <c r="D33" s="249"/>
      <c r="E33" s="273"/>
      <c r="F33" s="283"/>
      <c r="G33" s="252" t="s">
        <v>50</v>
      </c>
      <c r="H33" s="252" t="s">
        <v>94</v>
      </c>
      <c r="I33" s="238"/>
      <c r="J33" s="670" t="s">
        <v>8</v>
      </c>
      <c r="K33" s="671"/>
      <c r="L33" s="154" t="str">
        <f>IF(OR(J12="",J28=""),"",IF(J12&lt;J28,I12,IF(J28&lt;J12,I28,IF(OR(H8="",H16=""),"",IF(K12&lt;K28,I12,IF(K28&lt;K12,I28,""))))))</f>
        <v/>
      </c>
      <c r="M33" s="35"/>
      <c r="N33" s="36"/>
      <c r="O33" s="307"/>
      <c r="P33" s="37"/>
      <c r="Q33" s="16"/>
      <c r="R33" s="151" t="str">
        <f>IF(OR(S12="",S28=""),"",IF(S12&lt;S28,U12,IF(S28&lt;S12,U28,IF(OR(T12="",T28=""),"",IF(T12&lt;T28,U12,IF(T28&lt;T12,U28,""))))))</f>
        <v/>
      </c>
      <c r="S33" s="689" t="s">
        <v>8</v>
      </c>
      <c r="T33" s="670"/>
      <c r="U33" s="238"/>
      <c r="V33" s="252" t="s">
        <v>50</v>
      </c>
      <c r="W33" s="252" t="s">
        <v>94</v>
      </c>
      <c r="X33" s="238"/>
      <c r="Y33" s="304"/>
      <c r="Z33" s="249"/>
      <c r="AA33" s="268"/>
      <c r="AB33" s="254"/>
    </row>
    <row r="34" spans="1:93" ht="15.6" customHeight="1" thickBot="1" x14ac:dyDescent="0.3">
      <c r="B34" s="242" t="s">
        <v>40</v>
      </c>
      <c r="C34" s="153" t="str">
        <f>'Grupo H'!$S$17</f>
        <v>Corea del Sur</v>
      </c>
      <c r="D34" s="12"/>
      <c r="E34" s="12"/>
      <c r="F34" s="238"/>
      <c r="G34" s="238"/>
      <c r="H34" s="238"/>
      <c r="I34" s="238"/>
      <c r="J34" s="238"/>
      <c r="K34" s="238"/>
      <c r="L34" s="264"/>
      <c r="M34" s="252" t="s">
        <v>50</v>
      </c>
      <c r="N34" s="252" t="s">
        <v>94</v>
      </c>
      <c r="O34" s="238"/>
      <c r="P34" s="252" t="s">
        <v>50</v>
      </c>
      <c r="Q34" s="252" t="s">
        <v>94</v>
      </c>
      <c r="R34" s="251"/>
      <c r="S34" s="238"/>
      <c r="T34" s="238"/>
      <c r="U34" s="249"/>
      <c r="V34" s="238"/>
      <c r="W34" s="238"/>
      <c r="X34" s="238"/>
      <c r="Y34" s="11"/>
      <c r="Z34" s="12"/>
      <c r="AA34" s="149" t="str">
        <f>'Grupo G'!$S$17</f>
        <v>Camerún</v>
      </c>
      <c r="AB34" s="300" t="s">
        <v>49</v>
      </c>
    </row>
    <row r="35" spans="1:93" s="148" customFormat="1" ht="15.6" customHeight="1" x14ac:dyDescent="0.25">
      <c r="A35"/>
      <c r="B35" s="243"/>
      <c r="C35" s="249"/>
      <c r="D35" s="252" t="s">
        <v>50</v>
      </c>
      <c r="E35" s="252" t="s">
        <v>94</v>
      </c>
      <c r="F35" s="238"/>
      <c r="G35" s="238"/>
      <c r="H35" s="238"/>
      <c r="I35" s="238"/>
      <c r="J35" s="238"/>
      <c r="K35" s="238"/>
      <c r="L35" s="274"/>
      <c r="M35" s="249"/>
      <c r="N35" s="251"/>
      <c r="O35" s="238"/>
      <c r="P35" s="238"/>
      <c r="Q35" s="238"/>
      <c r="R35" s="251"/>
      <c r="S35" s="238"/>
      <c r="T35" s="238"/>
      <c r="U35" s="249"/>
      <c r="V35" s="238"/>
      <c r="W35" s="238"/>
      <c r="X35" s="238"/>
      <c r="Y35" s="249" t="s">
        <v>50</v>
      </c>
      <c r="Z35" s="249" t="s">
        <v>94</v>
      </c>
      <c r="AA35" s="253"/>
      <c r="AB35" s="254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48" customFormat="1" ht="15.75" thickBot="1" x14ac:dyDescent="0.3">
      <c r="A36"/>
      <c r="B36" s="244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6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</sheetData>
  <sheetProtection selectLockedCells="1"/>
  <mergeCells count="84">
    <mergeCell ref="Y7:Z7"/>
    <mergeCell ref="Y8:Z8"/>
    <mergeCell ref="Y15:Z15"/>
    <mergeCell ref="Y16:Z16"/>
    <mergeCell ref="Y23:Z23"/>
    <mergeCell ref="S33:T33"/>
    <mergeCell ref="O7:O8"/>
    <mergeCell ref="P32:Q32"/>
    <mergeCell ref="S19:T19"/>
    <mergeCell ref="S20:T20"/>
    <mergeCell ref="P14:Q15"/>
    <mergeCell ref="P13:Q13"/>
    <mergeCell ref="Y31:Z31"/>
    <mergeCell ref="Y32:Z32"/>
    <mergeCell ref="S32:T32"/>
    <mergeCell ref="V27:W27"/>
    <mergeCell ref="V28:W28"/>
    <mergeCell ref="Y24:Z24"/>
    <mergeCell ref="D8:E8"/>
    <mergeCell ref="D15:E15"/>
    <mergeCell ref="D16:E16"/>
    <mergeCell ref="D23:E23"/>
    <mergeCell ref="D24:E24"/>
    <mergeCell ref="G12:H12"/>
    <mergeCell ref="G14:H14"/>
    <mergeCell ref="G11:H11"/>
    <mergeCell ref="D31:E31"/>
    <mergeCell ref="D32:E32"/>
    <mergeCell ref="J33:K33"/>
    <mergeCell ref="G27:H27"/>
    <mergeCell ref="G28:H28"/>
    <mergeCell ref="G31:H31"/>
    <mergeCell ref="J32:K32"/>
    <mergeCell ref="P3:R3"/>
    <mergeCell ref="S3:U3"/>
    <mergeCell ref="V3:X3"/>
    <mergeCell ref="G22:H22"/>
    <mergeCell ref="G30:H30"/>
    <mergeCell ref="G15:H15"/>
    <mergeCell ref="G23:H23"/>
    <mergeCell ref="V11:W11"/>
    <mergeCell ref="V12:W12"/>
    <mergeCell ref="P19:Q19"/>
    <mergeCell ref="P18:Q18"/>
    <mergeCell ref="O25:O26"/>
    <mergeCell ref="O12:O13"/>
    <mergeCell ref="M27:N27"/>
    <mergeCell ref="M18:N18"/>
    <mergeCell ref="J10:K10"/>
    <mergeCell ref="Y3:AA3"/>
    <mergeCell ref="S26:T26"/>
    <mergeCell ref="P31:Q31"/>
    <mergeCell ref="S11:T11"/>
    <mergeCell ref="V7:W7"/>
    <mergeCell ref="V15:W15"/>
    <mergeCell ref="V23:W23"/>
    <mergeCell ref="V31:W31"/>
    <mergeCell ref="P27:Q28"/>
    <mergeCell ref="V6:W6"/>
    <mergeCell ref="V14:W14"/>
    <mergeCell ref="V22:W22"/>
    <mergeCell ref="S10:T10"/>
    <mergeCell ref="S27:T27"/>
    <mergeCell ref="P26:Q26"/>
    <mergeCell ref="V30:W30"/>
    <mergeCell ref="M32:N32"/>
    <mergeCell ref="J11:K11"/>
    <mergeCell ref="M19:N19"/>
    <mergeCell ref="M28:N28"/>
    <mergeCell ref="J19:K19"/>
    <mergeCell ref="J20:K20"/>
    <mergeCell ref="M15:N15"/>
    <mergeCell ref="M16:N16"/>
    <mergeCell ref="M14:N14"/>
    <mergeCell ref="J27:K27"/>
    <mergeCell ref="J26:K26"/>
    <mergeCell ref="M31:N31"/>
    <mergeCell ref="C3:E3"/>
    <mergeCell ref="F3:H3"/>
    <mergeCell ref="I3:K3"/>
    <mergeCell ref="L3:N3"/>
    <mergeCell ref="G7:H7"/>
    <mergeCell ref="D7:E7"/>
    <mergeCell ref="G6:H6"/>
  </mergeCells>
  <pageMargins left="0.7" right="0.7" top="0.75" bottom="0.75" header="0.3" footer="0.3"/>
  <pageSetup scale="2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9"/>
  <sheetViews>
    <sheetView showGridLines="0" topLeftCell="A6" workbookViewId="0">
      <selection activeCell="F17" sqref="F17"/>
    </sheetView>
  </sheetViews>
  <sheetFormatPr baseColWidth="10" defaultRowHeight="15" x14ac:dyDescent="0.25"/>
  <cols>
    <col min="1" max="1" width="3.140625" customWidth="1"/>
    <col min="3" max="3" width="17.5703125" customWidth="1"/>
    <col min="4" max="5" width="30.7109375" customWidth="1"/>
    <col min="6" max="6" width="15.7109375" customWidth="1"/>
  </cols>
  <sheetData>
    <row r="6" spans="2:6" ht="15.75" thickBot="1" x14ac:dyDescent="0.3"/>
    <row r="7" spans="2:6" ht="21.75" thickBot="1" x14ac:dyDescent="0.4">
      <c r="D7" s="229" t="s">
        <v>7</v>
      </c>
      <c r="E7" s="229" t="s">
        <v>8</v>
      </c>
      <c r="F7" s="229" t="s">
        <v>158</v>
      </c>
    </row>
    <row r="8" spans="2:6" ht="33" customHeight="1" x14ac:dyDescent="0.25">
      <c r="B8" s="695" t="s">
        <v>156</v>
      </c>
      <c r="C8" s="696"/>
      <c r="D8" s="141" t="str">
        <f>DB_PARTIDOS!M20</f>
        <v>Lionel Messi</v>
      </c>
      <c r="E8" s="699"/>
      <c r="F8" s="693">
        <f>IF(E8="",0,IF(OR(E8=D8,E8=D9),'Reglas Polla'!D37,0))</f>
        <v>0</v>
      </c>
    </row>
    <row r="9" spans="2:6" ht="31.5" customHeight="1" thickBot="1" x14ac:dyDescent="0.3">
      <c r="B9" s="697" t="s">
        <v>157</v>
      </c>
      <c r="C9" s="698"/>
      <c r="D9" s="142" t="str">
        <f>DB_PARTIDOS!M21</f>
        <v>Mbappe</v>
      </c>
      <c r="E9" s="700"/>
      <c r="F9" s="694" t="str">
        <f>IF(E10="","",IF(E9=E10,20,0))</f>
        <v/>
      </c>
    </row>
  </sheetData>
  <sheetProtection selectLockedCells="1"/>
  <mergeCells count="4">
    <mergeCell ref="F8:F9"/>
    <mergeCell ref="B8:C8"/>
    <mergeCell ref="B9:C9"/>
    <mergeCell ref="E8:E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zoomScale="115" zoomScaleNormal="115" workbookViewId="0">
      <selection activeCell="A17" sqref="A17:B19"/>
    </sheetView>
  </sheetViews>
  <sheetFormatPr baseColWidth="10" defaultRowHeight="15" x14ac:dyDescent="0.25"/>
  <cols>
    <col min="2" max="4" width="12.7109375" style="4" customWidth="1"/>
    <col min="5" max="6" width="12.7109375" customWidth="1"/>
  </cols>
  <sheetData>
    <row r="1" spans="1:6" x14ac:dyDescent="0.25">
      <c r="A1" s="701" t="s">
        <v>101</v>
      </c>
      <c r="B1" s="702"/>
      <c r="C1" s="702"/>
      <c r="D1" s="702"/>
      <c r="E1" s="702"/>
      <c r="F1" s="703"/>
    </row>
    <row r="2" spans="1:6" ht="15.75" thickBot="1" x14ac:dyDescent="0.3">
      <c r="A2" s="704"/>
      <c r="B2" s="705"/>
      <c r="C2" s="705"/>
      <c r="D2" s="705"/>
      <c r="E2" s="705"/>
      <c r="F2" s="706"/>
    </row>
    <row r="3" spans="1:6" ht="31.5" customHeight="1" thickBot="1" x14ac:dyDescent="0.3">
      <c r="A3" s="230"/>
      <c r="B3" s="231" t="s">
        <v>98</v>
      </c>
      <c r="C3" s="232" t="s">
        <v>70</v>
      </c>
      <c r="D3" s="232" t="s">
        <v>71</v>
      </c>
      <c r="E3" s="232" t="s">
        <v>99</v>
      </c>
      <c r="F3" s="233" t="s">
        <v>100</v>
      </c>
    </row>
    <row r="4" spans="1:6" x14ac:dyDescent="0.25">
      <c r="A4" s="234" t="s">
        <v>69</v>
      </c>
      <c r="B4" s="8">
        <f>'Grupo A'!L21</f>
        <v>0</v>
      </c>
      <c r="C4" s="5">
        <f>SUM('Grupo A'!K$6:K$17)/'Grupo A'!AA$28</f>
        <v>0</v>
      </c>
      <c r="D4" s="9">
        <f>SUM('Grupo A'!L$6:L$17)/'Grupo A'!AB$28</f>
        <v>0</v>
      </c>
      <c r="E4" s="707">
        <f>'Cuadro Final'!O7</f>
        <v>0</v>
      </c>
      <c r="F4" s="709">
        <f>(SUM('Cuadro Final'!G31,'Cuadro Final'!G23,'Cuadro Final'!G15,'Cuadro Final'!G7,'Cuadro Final'!V7,'Cuadro Final'!V15,'Cuadro Final'!V23,'Cuadro Final'!V31)/4)+(SUM('Cuadro Final'!J11,'Cuadro Final'!J27,'Cuadro Final'!S11,'Cuadro Final'!S27)/8)+SUM('Cuadro Final'!M19,'Cuadro Final'!P19)/16+SUM('Cuadro Final'!P14)/30+SUM('Cuadro Final'!P27)/20</f>
        <v>0</v>
      </c>
    </row>
    <row r="5" spans="1:6" x14ac:dyDescent="0.25">
      <c r="A5" s="235" t="s">
        <v>72</v>
      </c>
      <c r="B5" s="6">
        <f>'Grupo B'!L21</f>
        <v>0</v>
      </c>
      <c r="C5" s="5">
        <f>SUM('Grupo B'!K$6:K$17)/'Grupo B'!AA$28</f>
        <v>0</v>
      </c>
      <c r="D5" s="5">
        <f>SUM('Grupo B'!L$6:L$17)/'Grupo B'!AB$28</f>
        <v>0</v>
      </c>
      <c r="E5" s="707"/>
      <c r="F5" s="710"/>
    </row>
    <row r="6" spans="1:6" x14ac:dyDescent="0.25">
      <c r="A6" s="235" t="s">
        <v>73</v>
      </c>
      <c r="B6" s="6">
        <f>'Grupo C'!L21</f>
        <v>0</v>
      </c>
      <c r="C6" s="5">
        <f>SUM('Grupo C'!K$6:K$17)/'Grupo C'!AA$28</f>
        <v>0</v>
      </c>
      <c r="D6" s="24">
        <f>SUM('Grupo C'!L$6:L$17)/'Grupo C'!AB$28</f>
        <v>0</v>
      </c>
      <c r="E6" s="707"/>
      <c r="F6" s="710"/>
    </row>
    <row r="7" spans="1:6" x14ac:dyDescent="0.25">
      <c r="A7" s="235" t="s">
        <v>74</v>
      </c>
      <c r="B7" s="6">
        <f>'Grupo D'!L21</f>
        <v>0</v>
      </c>
      <c r="C7" s="5">
        <f>SUM('Grupo D'!K$6:K$17)/'Grupo D'!AA$28</f>
        <v>0</v>
      </c>
      <c r="D7" s="5">
        <f>SUM('Grupo D'!L$6:L$17)/'Grupo D'!AB$28</f>
        <v>0</v>
      </c>
      <c r="E7" s="707"/>
      <c r="F7" s="710"/>
    </row>
    <row r="8" spans="1:6" x14ac:dyDescent="0.25">
      <c r="A8" s="235" t="s">
        <v>75</v>
      </c>
      <c r="B8" s="6">
        <f>'Grupo E'!L21</f>
        <v>0</v>
      </c>
      <c r="C8" s="5">
        <f>SUM('Grupo E'!K$6:K$17)/'Grupo E'!AA$28</f>
        <v>0</v>
      </c>
      <c r="D8" s="5">
        <f>SUM('Grupo E'!L$6:L$17)/'Grupo E'!AB$28</f>
        <v>0</v>
      </c>
      <c r="E8" s="707"/>
      <c r="F8" s="710"/>
    </row>
    <row r="9" spans="1:6" x14ac:dyDescent="0.25">
      <c r="A9" s="235" t="s">
        <v>76</v>
      </c>
      <c r="B9" s="6">
        <f>'Grupo F'!L21</f>
        <v>0</v>
      </c>
      <c r="C9" s="5">
        <f>SUM('Grupo F'!K$6:K$17)/'Grupo F'!AA$28</f>
        <v>0</v>
      </c>
      <c r="D9" s="5">
        <f>SUM('Grupo F'!L$6:L$17)/'Grupo F'!AB$28</f>
        <v>0</v>
      </c>
      <c r="E9" s="707"/>
      <c r="F9" s="710"/>
    </row>
    <row r="10" spans="1:6" x14ac:dyDescent="0.25">
      <c r="A10" s="235" t="s">
        <v>77</v>
      </c>
      <c r="B10" s="6">
        <f>'Grupo G'!L21</f>
        <v>0</v>
      </c>
      <c r="C10" s="5">
        <f>SUM('Grupo G'!K$6:K$17)/'Grupo G'!AA$28</f>
        <v>0</v>
      </c>
      <c r="D10" s="5">
        <f>SUM('Grupo G'!L$6:L$17)/'Grupo G'!AB$28</f>
        <v>0</v>
      </c>
      <c r="E10" s="707"/>
      <c r="F10" s="710"/>
    </row>
    <row r="11" spans="1:6" ht="15.75" thickBot="1" x14ac:dyDescent="0.3">
      <c r="A11" s="236" t="s">
        <v>78</v>
      </c>
      <c r="B11" s="7">
        <f>'Grupo H'!L21</f>
        <v>0</v>
      </c>
      <c r="C11" s="23">
        <f>SUM('Grupo H'!K$6:K$17)/'Grupo H'!AA$28</f>
        <v>0</v>
      </c>
      <c r="D11" s="25">
        <f>SUM('Grupo H'!L$6:L$17)/'Grupo H'!AB$28</f>
        <v>0</v>
      </c>
      <c r="E11" s="708"/>
      <c r="F11" s="711"/>
    </row>
    <row r="12" spans="1:6" ht="15.75" thickBot="1" x14ac:dyDescent="0.3">
      <c r="A12" s="147" t="s">
        <v>79</v>
      </c>
      <c r="B12" s="143">
        <f>SUM(B4:B11)</f>
        <v>0</v>
      </c>
      <c r="C12" s="144">
        <f>SUM(C4:C11)</f>
        <v>0</v>
      </c>
      <c r="D12" s="145">
        <f>SUM(D4:D11)</f>
        <v>0</v>
      </c>
      <c r="E12" s="144">
        <f>SUM(E4:E11)</f>
        <v>0</v>
      </c>
      <c r="F12" s="146">
        <f>SUM(F4:F11)</f>
        <v>0</v>
      </c>
    </row>
    <row r="13" spans="1:6" ht="15.75" thickBot="1" x14ac:dyDescent="0.3">
      <c r="A13" s="237" t="s">
        <v>145</v>
      </c>
      <c r="B13" s="724">
        <f>Goleador!$F$8</f>
        <v>0</v>
      </c>
      <c r="C13" s="724"/>
      <c r="D13" s="724"/>
      <c r="E13" s="724"/>
      <c r="F13" s="724"/>
    </row>
    <row r="14" spans="1:6" ht="15" customHeight="1" x14ac:dyDescent="0.25">
      <c r="A14" s="712" t="s">
        <v>140</v>
      </c>
      <c r="B14" s="713"/>
      <c r="C14" s="712" t="s">
        <v>139</v>
      </c>
      <c r="D14" s="713"/>
      <c r="E14" s="712" t="s">
        <v>138</v>
      </c>
      <c r="F14" s="713"/>
    </row>
    <row r="15" spans="1:6" ht="15" customHeight="1" x14ac:dyDescent="0.25">
      <c r="A15" s="714"/>
      <c r="B15" s="715"/>
      <c r="C15" s="714"/>
      <c r="D15" s="715"/>
      <c r="E15" s="714"/>
      <c r="F15" s="715"/>
    </row>
    <row r="16" spans="1:6" ht="15.75" customHeight="1" thickBot="1" x14ac:dyDescent="0.3">
      <c r="A16" s="716"/>
      <c r="B16" s="717"/>
      <c r="C16" s="716"/>
      <c r="D16" s="717"/>
      <c r="E16" s="716"/>
      <c r="F16" s="717"/>
    </row>
    <row r="17" spans="1:6" ht="15" customHeight="1" x14ac:dyDescent="0.25">
      <c r="A17" s="718">
        <f>$B$12+$E$12+$B$13</f>
        <v>0</v>
      </c>
      <c r="B17" s="719"/>
      <c r="C17" s="718">
        <f>C12+F12</f>
        <v>0</v>
      </c>
      <c r="D17" s="719"/>
      <c r="E17" s="718">
        <f>D12</f>
        <v>0</v>
      </c>
      <c r="F17" s="719"/>
    </row>
    <row r="18" spans="1:6" ht="15" customHeight="1" x14ac:dyDescent="0.25">
      <c r="A18" s="720"/>
      <c r="B18" s="721"/>
      <c r="C18" s="720"/>
      <c r="D18" s="721"/>
      <c r="E18" s="720"/>
      <c r="F18" s="721"/>
    </row>
    <row r="19" spans="1:6" ht="15.75" customHeight="1" thickBot="1" x14ac:dyDescent="0.3">
      <c r="A19" s="722"/>
      <c r="B19" s="723"/>
      <c r="C19" s="722"/>
      <c r="D19" s="723"/>
      <c r="E19" s="722"/>
      <c r="F19" s="723"/>
    </row>
  </sheetData>
  <sheetProtection selectLockedCells="1"/>
  <mergeCells count="10">
    <mergeCell ref="A1:F2"/>
    <mergeCell ref="E4:E11"/>
    <mergeCell ref="F4:F11"/>
    <mergeCell ref="A14:B16"/>
    <mergeCell ref="A17:B19"/>
    <mergeCell ref="C14:D16"/>
    <mergeCell ref="C17:D19"/>
    <mergeCell ref="E14:F16"/>
    <mergeCell ref="E17:F19"/>
    <mergeCell ref="B13:F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M23" sqref="M23"/>
    </sheetView>
  </sheetViews>
  <sheetFormatPr baseColWidth="10" defaultRowHeight="15" x14ac:dyDescent="0.25"/>
  <cols>
    <col min="1" max="1" width="10.42578125" customWidth="1"/>
    <col min="2" max="2" width="9.7109375" customWidth="1"/>
    <col min="3" max="3" width="11" customWidth="1"/>
    <col min="4" max="4" width="13.7109375" bestFit="1" customWidth="1"/>
    <col min="5" max="5" width="15.42578125" customWidth="1"/>
    <col min="6" max="6" width="13.7109375" bestFit="1" customWidth="1"/>
    <col min="7" max="7" width="19" customWidth="1"/>
    <col min="8" max="8" width="20.7109375" customWidth="1"/>
    <col min="9" max="9" width="24.28515625" customWidth="1"/>
    <col min="11" max="11" width="6.140625" customWidth="1"/>
    <col min="12" max="12" width="6" customWidth="1"/>
    <col min="13" max="13" width="15.7109375" customWidth="1"/>
  </cols>
  <sheetData>
    <row r="1" spans="1:13" x14ac:dyDescent="0.25">
      <c r="A1" t="s">
        <v>212</v>
      </c>
      <c r="B1" t="s">
        <v>213</v>
      </c>
      <c r="C1" t="s">
        <v>226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L1" t="s">
        <v>212</v>
      </c>
      <c r="M1" t="s">
        <v>227</v>
      </c>
    </row>
    <row r="2" spans="1:13" x14ac:dyDescent="0.25">
      <c r="A2" s="308" t="str">
        <f>CONCATENATE(B2,C2)</f>
        <v>A1</v>
      </c>
      <c r="B2" s="4" t="str">
        <f>MID('Grupo A'!$C$2,7,1)</f>
        <v>A</v>
      </c>
      <c r="C2" s="4">
        <v>1</v>
      </c>
      <c r="D2" t="str">
        <f>'Grupo A'!G$6</f>
        <v>Qatar</v>
      </c>
      <c r="E2">
        <v>1</v>
      </c>
      <c r="F2" t="str">
        <f>'Grupo A'!I$6</f>
        <v>Ecuador</v>
      </c>
      <c r="G2">
        <v>1</v>
      </c>
      <c r="H2" t="str">
        <f>IF([2]!Tabla1[[#This Row],[GOLES_LOCAL_REAL]]="","",[2]!Tabla1[[#This Row],[GOLES_LOCAL_REAL]])</f>
        <v/>
      </c>
      <c r="I2" t="str">
        <f>IF([2]!Tabla1[[#This Row],[GOLES_VISITANTE_REAL]]="","",[2]!Tabla1[[#This Row],[GOLES_VISITANTE_REAL]])</f>
        <v/>
      </c>
      <c r="L2" t="s">
        <v>228</v>
      </c>
      <c r="M2" t="s">
        <v>185</v>
      </c>
    </row>
    <row r="3" spans="1:13" x14ac:dyDescent="0.25">
      <c r="A3" s="308" t="str">
        <f t="shared" ref="A3:A65" si="0">CONCATENATE(B3,C3)</f>
        <v>A2</v>
      </c>
      <c r="B3" s="4" t="str">
        <f>MID('Grupo A'!$C$2,7,1)</f>
        <v>A</v>
      </c>
      <c r="C3" s="4">
        <v>2</v>
      </c>
      <c r="D3" t="str">
        <f>'Grupo A'!G$8</f>
        <v>Senegal</v>
      </c>
      <c r="E3">
        <v>0</v>
      </c>
      <c r="F3" t="str">
        <f>'Grupo A'!I$8</f>
        <v>Países Bajos</v>
      </c>
      <c r="G3">
        <v>3</v>
      </c>
      <c r="H3" t="str">
        <f>IF([2]!Tabla1[[#This Row],[GOLES_LOCAL_REAL]]="","",[2]!Tabla1[[#This Row],[GOLES_LOCAL_REAL]])</f>
        <v/>
      </c>
      <c r="I3" t="str">
        <f>IF([2]!Tabla1[[#This Row],[GOLES_VISITANTE_REAL]]="","",[2]!Tabla1[[#This Row],[GOLES_VISITANTE_REAL]])</f>
        <v/>
      </c>
      <c r="L3" t="s">
        <v>229</v>
      </c>
      <c r="M3" t="s">
        <v>183</v>
      </c>
    </row>
    <row r="4" spans="1:13" x14ac:dyDescent="0.25">
      <c r="A4" s="308" t="str">
        <f t="shared" si="0"/>
        <v>A3</v>
      </c>
      <c r="B4" s="4" t="str">
        <f>MID('Grupo A'!$C$2,7,1)</f>
        <v>A</v>
      </c>
      <c r="C4" s="4">
        <v>3</v>
      </c>
      <c r="D4" t="str">
        <f>'Grupo A'!G$10</f>
        <v>Qatar</v>
      </c>
      <c r="E4">
        <v>1</v>
      </c>
      <c r="F4" t="str">
        <f>'Grupo A'!I$10</f>
        <v>Senegal</v>
      </c>
      <c r="G4">
        <v>0</v>
      </c>
      <c r="H4" t="str">
        <f>IF([2]!Tabla1[[#This Row],[GOLES_LOCAL_REAL]]="","",[2]!Tabla1[[#This Row],[GOLES_LOCAL_REAL]])</f>
        <v/>
      </c>
      <c r="I4" t="str">
        <f>IF([2]!Tabla1[[#This Row],[GOLES_VISITANTE_REAL]]="","",[2]!Tabla1[[#This Row],[GOLES_VISITANTE_REAL]])</f>
        <v/>
      </c>
      <c r="L4" t="s">
        <v>230</v>
      </c>
      <c r="M4" t="s">
        <v>106</v>
      </c>
    </row>
    <row r="5" spans="1:13" x14ac:dyDescent="0.25">
      <c r="A5" s="308" t="str">
        <f t="shared" si="0"/>
        <v>A4</v>
      </c>
      <c r="B5" s="4" t="str">
        <f>MID('Grupo A'!$C$2,7,1)</f>
        <v>A</v>
      </c>
      <c r="C5" s="4">
        <v>4</v>
      </c>
      <c r="D5" t="str">
        <f>'Grupo A'!G$12</f>
        <v>Países Bajos</v>
      </c>
      <c r="E5">
        <v>2</v>
      </c>
      <c r="F5" t="str">
        <f>'Grupo A'!I$12</f>
        <v>Ecuador</v>
      </c>
      <c r="G5">
        <v>0</v>
      </c>
      <c r="H5" t="str">
        <f>IF([2]!Tabla1[[#This Row],[GOLES_LOCAL_REAL]]="","",[2]!Tabla1[[#This Row],[GOLES_LOCAL_REAL]])</f>
        <v/>
      </c>
      <c r="I5" t="str">
        <f>IF([2]!Tabla1[[#This Row],[GOLES_VISITANTE_REAL]]="","",[2]!Tabla1[[#This Row],[GOLES_VISITANTE_REAL]])</f>
        <v/>
      </c>
      <c r="L5" t="s">
        <v>231</v>
      </c>
      <c r="M5" t="s">
        <v>187</v>
      </c>
    </row>
    <row r="6" spans="1:13" x14ac:dyDescent="0.25">
      <c r="A6" s="308" t="str">
        <f t="shared" si="0"/>
        <v>A5</v>
      </c>
      <c r="B6" s="4" t="str">
        <f>MID('Grupo A'!$C$2,7,1)</f>
        <v>A</v>
      </c>
      <c r="C6" s="4">
        <v>5</v>
      </c>
      <c r="D6" t="str">
        <f>'Grupo A'!G$14</f>
        <v>Países Bajos</v>
      </c>
      <c r="E6">
        <v>2</v>
      </c>
      <c r="F6" t="str">
        <f>'Grupo A'!I$14</f>
        <v>Qatar</v>
      </c>
      <c r="G6">
        <v>0</v>
      </c>
      <c r="H6" t="str">
        <f>IF([2]!Tabla1[[#This Row],[GOLES_LOCAL_REAL]]="","",[2]!Tabla1[[#This Row],[GOLES_LOCAL_REAL]])</f>
        <v/>
      </c>
      <c r="I6" t="str">
        <f>IF([2]!Tabla1[[#This Row],[GOLES_VISITANTE_REAL]]="","",[2]!Tabla1[[#This Row],[GOLES_VISITANTE_REAL]])</f>
        <v/>
      </c>
      <c r="L6" t="s">
        <v>232</v>
      </c>
      <c r="M6" t="s">
        <v>109</v>
      </c>
    </row>
    <row r="7" spans="1:13" x14ac:dyDescent="0.25">
      <c r="A7" s="308" t="str">
        <f t="shared" si="0"/>
        <v>A6</v>
      </c>
      <c r="B7" s="4" t="str">
        <f>MID('Grupo A'!$C$2,7,1)</f>
        <v>A</v>
      </c>
      <c r="C7" s="4">
        <v>6</v>
      </c>
      <c r="D7" t="str">
        <f>'Grupo A'!G$16</f>
        <v>Ecuador</v>
      </c>
      <c r="E7">
        <v>1</v>
      </c>
      <c r="F7" t="str">
        <f>'Grupo A'!I$16</f>
        <v>Senegal</v>
      </c>
      <c r="G7">
        <v>1</v>
      </c>
      <c r="H7" t="str">
        <f>IF([2]!Tabla1[[#This Row],[GOLES_LOCAL_REAL]]="","",[2]!Tabla1[[#This Row],[GOLES_LOCAL_REAL]])</f>
        <v/>
      </c>
      <c r="I7" t="str">
        <f>IF([2]!Tabla1[[#This Row],[GOLES_VISITANTE_REAL]]="","",[2]!Tabla1[[#This Row],[GOLES_VISITANTE_REAL]])</f>
        <v/>
      </c>
      <c r="L7" t="s">
        <v>233</v>
      </c>
      <c r="M7" t="s">
        <v>153</v>
      </c>
    </row>
    <row r="8" spans="1:13" x14ac:dyDescent="0.25">
      <c r="A8" s="308" t="str">
        <f t="shared" si="0"/>
        <v>B1</v>
      </c>
      <c r="B8" s="4" t="str">
        <f>MID('Grupo B'!$C$2,7,1)</f>
        <v>B</v>
      </c>
      <c r="C8" s="4">
        <v>1</v>
      </c>
      <c r="D8" t="str">
        <f>'Grupo B'!G$6</f>
        <v>Inglaterra</v>
      </c>
      <c r="E8">
        <v>2</v>
      </c>
      <c r="F8" t="str">
        <f>'Grupo B'!I$6</f>
        <v>Irán</v>
      </c>
      <c r="G8">
        <v>0</v>
      </c>
      <c r="H8" t="str">
        <f>IF([2]!Tabla1[[#This Row],[GOLES_LOCAL_REAL]]="","",[2]!Tabla1[[#This Row],[GOLES_LOCAL_REAL]])</f>
        <v/>
      </c>
      <c r="I8" t="str">
        <f>IF([2]!Tabla1[[#This Row],[GOLES_VISITANTE_REAL]]="","",[2]!Tabla1[[#This Row],[GOLES_VISITANTE_REAL]])</f>
        <v/>
      </c>
      <c r="L8" t="s">
        <v>234</v>
      </c>
      <c r="M8" t="s">
        <v>108</v>
      </c>
    </row>
    <row r="9" spans="1:13" x14ac:dyDescent="0.25">
      <c r="A9" s="308" t="str">
        <f t="shared" si="0"/>
        <v>B2</v>
      </c>
      <c r="B9" s="4" t="str">
        <f>MID('Grupo B'!$C$2,7,1)</f>
        <v>B</v>
      </c>
      <c r="C9" s="4">
        <v>2</v>
      </c>
      <c r="D9" t="str">
        <f>'Grupo B'!G$8</f>
        <v>USA</v>
      </c>
      <c r="E9">
        <v>1</v>
      </c>
      <c r="F9" t="str">
        <f>'Grupo B'!I$8</f>
        <v>Gales</v>
      </c>
      <c r="G9">
        <v>1</v>
      </c>
      <c r="H9" t="str">
        <f>IF([2]!Tabla1[[#This Row],[GOLES_LOCAL_REAL]]="","",[2]!Tabla1[[#This Row],[GOLES_LOCAL_REAL]])</f>
        <v/>
      </c>
      <c r="I9" t="str">
        <f>IF([2]!Tabla1[[#This Row],[GOLES_VISITANTE_REAL]]="","",[2]!Tabla1[[#This Row],[GOLES_VISITANTE_REAL]])</f>
        <v/>
      </c>
      <c r="L9" t="s">
        <v>235</v>
      </c>
      <c r="M9" t="s">
        <v>149</v>
      </c>
    </row>
    <row r="10" spans="1:13" x14ac:dyDescent="0.25">
      <c r="A10" s="308" t="str">
        <f t="shared" si="0"/>
        <v>B3</v>
      </c>
      <c r="B10" s="4" t="str">
        <f>MID('Grupo B'!$C$2,7,1)</f>
        <v>B</v>
      </c>
      <c r="C10" s="4">
        <v>3</v>
      </c>
      <c r="D10" t="str">
        <f>'Grupo B'!G$10</f>
        <v>Gales</v>
      </c>
      <c r="E10">
        <v>1</v>
      </c>
      <c r="F10" t="str">
        <f>'Grupo B'!I$10</f>
        <v>Irán</v>
      </c>
      <c r="G10">
        <v>0</v>
      </c>
      <c r="H10" t="str">
        <f>IF([2]!Tabla1[[#This Row],[GOLES_LOCAL_REAL]]="","",[2]!Tabla1[[#This Row],[GOLES_LOCAL_REAL]])</f>
        <v/>
      </c>
      <c r="I10" t="str">
        <f>IF([2]!Tabla1[[#This Row],[GOLES_VISITANTE_REAL]]="","",[2]!Tabla1[[#This Row],[GOLES_VISITANTE_REAL]])</f>
        <v/>
      </c>
      <c r="L10" t="s">
        <v>236</v>
      </c>
      <c r="M10" t="s">
        <v>110</v>
      </c>
    </row>
    <row r="11" spans="1:13" x14ac:dyDescent="0.25">
      <c r="A11" s="308" t="str">
        <f t="shared" si="0"/>
        <v>B4</v>
      </c>
      <c r="B11" s="4" t="str">
        <f>MID('Grupo B'!$C$2,7,1)</f>
        <v>B</v>
      </c>
      <c r="C11" s="4">
        <v>4</v>
      </c>
      <c r="D11" t="str">
        <f>'Grupo B'!G$12</f>
        <v>Inglaterra</v>
      </c>
      <c r="E11">
        <v>2</v>
      </c>
      <c r="F11" t="str">
        <f>'Grupo B'!I$12</f>
        <v>USA</v>
      </c>
      <c r="G11">
        <v>1</v>
      </c>
      <c r="H11" t="str">
        <f>IF([2]!Tabla1[[#This Row],[GOLES_LOCAL_REAL]]="","",[2]!Tabla1[[#This Row],[GOLES_LOCAL_REAL]])</f>
        <v/>
      </c>
      <c r="I11" t="str">
        <f>IF([2]!Tabla1[[#This Row],[GOLES_VISITANTE_REAL]]="","",[2]!Tabla1[[#This Row],[GOLES_VISITANTE_REAL]])</f>
        <v/>
      </c>
      <c r="L11" t="s">
        <v>237</v>
      </c>
      <c r="M11" t="s">
        <v>102</v>
      </c>
    </row>
    <row r="12" spans="1:13" x14ac:dyDescent="0.25">
      <c r="A12" s="308" t="str">
        <f t="shared" si="0"/>
        <v>B5</v>
      </c>
      <c r="B12" s="4" t="str">
        <f>MID('Grupo B'!$C$2,7,1)</f>
        <v>B</v>
      </c>
      <c r="C12" s="4">
        <v>5</v>
      </c>
      <c r="D12" t="str">
        <f>'Grupo B'!G$14</f>
        <v>Irán</v>
      </c>
      <c r="E12">
        <v>1</v>
      </c>
      <c r="F12" t="str">
        <f>'Grupo B'!I$14</f>
        <v>USA</v>
      </c>
      <c r="G12">
        <v>2</v>
      </c>
      <c r="H12" t="str">
        <f>IF([2]!Tabla1[[#This Row],[GOLES_LOCAL_REAL]]="","",[2]!Tabla1[[#This Row],[GOLES_LOCAL_REAL]])</f>
        <v/>
      </c>
      <c r="I12" t="str">
        <f>IF([2]!Tabla1[[#This Row],[GOLES_VISITANTE_REAL]]="","",[2]!Tabla1[[#This Row],[GOLES_VISITANTE_REAL]])</f>
        <v/>
      </c>
      <c r="L12" t="s">
        <v>238</v>
      </c>
      <c r="M12" t="s">
        <v>151</v>
      </c>
    </row>
    <row r="13" spans="1:13" x14ac:dyDescent="0.25">
      <c r="A13" s="308" t="str">
        <f t="shared" si="0"/>
        <v>B6</v>
      </c>
      <c r="B13" s="4" t="str">
        <f>MID('Grupo B'!$C$2,7,1)</f>
        <v>B</v>
      </c>
      <c r="C13" s="4">
        <v>6</v>
      </c>
      <c r="D13" t="str">
        <f>'Grupo B'!G$16</f>
        <v>Gales</v>
      </c>
      <c r="E13">
        <v>1</v>
      </c>
      <c r="F13" t="str">
        <f>'Grupo B'!I$16</f>
        <v>Inglaterra</v>
      </c>
      <c r="G13">
        <v>2</v>
      </c>
      <c r="H13" t="str">
        <f>IF([2]!Tabla1[[#This Row],[GOLES_LOCAL_REAL]]="","",[2]!Tabla1[[#This Row],[GOLES_LOCAL_REAL]])</f>
        <v/>
      </c>
      <c r="I13" t="str">
        <f>IF([2]!Tabla1[[#This Row],[GOLES_VISITANTE_REAL]]="","",[2]!Tabla1[[#This Row],[GOLES_VISITANTE_REAL]])</f>
        <v/>
      </c>
      <c r="L13" t="s">
        <v>239</v>
      </c>
      <c r="M13" t="s">
        <v>5</v>
      </c>
    </row>
    <row r="14" spans="1:13" x14ac:dyDescent="0.25">
      <c r="A14" s="308" t="str">
        <f t="shared" si="0"/>
        <v>C1</v>
      </c>
      <c r="B14" s="4" t="str">
        <f>MID('Grupo C'!$C$2,7,1)</f>
        <v>C</v>
      </c>
      <c r="C14" s="4">
        <v>1</v>
      </c>
      <c r="D14" t="str">
        <f>'Grupo C'!G$6</f>
        <v>Argentina</v>
      </c>
      <c r="E14">
        <v>4</v>
      </c>
      <c r="F14" t="str">
        <f>'Grupo C'!I$6</f>
        <v>Arabia Saudita</v>
      </c>
      <c r="G14">
        <v>0</v>
      </c>
      <c r="H14" t="str">
        <f>IF([2]!Tabla1[[#This Row],[GOLES_LOCAL_REAL]]="","",[2]!Tabla1[[#This Row],[GOLES_LOCAL_REAL]])</f>
        <v/>
      </c>
      <c r="I14" t="str">
        <f>IF([2]!Tabla1[[#This Row],[GOLES_VISITANTE_REAL]]="","",[2]!Tabla1[[#This Row],[GOLES_VISITANTE_REAL]])</f>
        <v/>
      </c>
      <c r="L14" t="s">
        <v>240</v>
      </c>
      <c r="M14" t="s">
        <v>4</v>
      </c>
    </row>
    <row r="15" spans="1:13" x14ac:dyDescent="0.25">
      <c r="A15" s="308" t="str">
        <f t="shared" si="0"/>
        <v>C2</v>
      </c>
      <c r="B15" s="4" t="str">
        <f>MID('Grupo C'!$C$2,7,1)</f>
        <v>C</v>
      </c>
      <c r="C15" s="4">
        <v>2</v>
      </c>
      <c r="D15" t="str">
        <f>'Grupo C'!G$8</f>
        <v>México</v>
      </c>
      <c r="E15">
        <v>1</v>
      </c>
      <c r="F15" t="str">
        <f>'Grupo C'!I$8</f>
        <v>Polonia</v>
      </c>
      <c r="G15">
        <v>2</v>
      </c>
      <c r="H15" t="str">
        <f>IF([2]!Tabla1[[#This Row],[GOLES_LOCAL_REAL]]="","",[2]!Tabla1[[#This Row],[GOLES_LOCAL_REAL]])</f>
        <v/>
      </c>
      <c r="I15" t="str">
        <f>IF([2]!Tabla1[[#This Row],[GOLES_VISITANTE_REAL]]="","",[2]!Tabla1[[#This Row],[GOLES_VISITANTE_REAL]])</f>
        <v/>
      </c>
      <c r="L15" t="s">
        <v>241</v>
      </c>
      <c r="M15" t="s">
        <v>150</v>
      </c>
    </row>
    <row r="16" spans="1:13" x14ac:dyDescent="0.25">
      <c r="A16" s="308" t="str">
        <f t="shared" si="0"/>
        <v>C3</v>
      </c>
      <c r="B16" s="4" t="str">
        <f>MID('Grupo C'!$C$2,7,1)</f>
        <v>C</v>
      </c>
      <c r="C16" s="4">
        <v>3</v>
      </c>
      <c r="D16" t="str">
        <f>'Grupo C'!G$10</f>
        <v>Argentina</v>
      </c>
      <c r="E16">
        <v>2</v>
      </c>
      <c r="F16" t="str">
        <f>'Grupo C'!I$10</f>
        <v>México</v>
      </c>
      <c r="G16">
        <v>0</v>
      </c>
      <c r="H16" t="str">
        <f>IF([2]!Tabla1[[#This Row],[GOLES_LOCAL_REAL]]="","",[2]!Tabla1[[#This Row],[GOLES_LOCAL_REAL]])</f>
        <v/>
      </c>
      <c r="I16" t="str">
        <f>IF([2]!Tabla1[[#This Row],[GOLES_VISITANTE_REAL]]="","",[2]!Tabla1[[#This Row],[GOLES_VISITANTE_REAL]])</f>
        <v/>
      </c>
      <c r="L16" t="s">
        <v>242</v>
      </c>
      <c r="M16" t="s">
        <v>111</v>
      </c>
    </row>
    <row r="17" spans="1:13" x14ac:dyDescent="0.25">
      <c r="A17" s="308" t="str">
        <f t="shared" si="0"/>
        <v>C4</v>
      </c>
      <c r="B17" s="4" t="str">
        <f>MID('Grupo C'!$C$2,7,1)</f>
        <v>C</v>
      </c>
      <c r="C17" s="4">
        <v>4</v>
      </c>
      <c r="D17" t="str">
        <f>'Grupo C'!G$12</f>
        <v>Polonia</v>
      </c>
      <c r="E17">
        <v>2</v>
      </c>
      <c r="F17" t="str">
        <f>'Grupo C'!I$12</f>
        <v>Arabia Saudita</v>
      </c>
      <c r="G17">
        <v>1</v>
      </c>
      <c r="H17" t="str">
        <f>IF([2]!Tabla1[[#This Row],[GOLES_LOCAL_REAL]]="","",[2]!Tabla1[[#This Row],[GOLES_LOCAL_REAL]])</f>
        <v/>
      </c>
      <c r="I17" t="str">
        <f>IF([2]!Tabla1[[#This Row],[GOLES_VISITANTE_REAL]]="","",[2]!Tabla1[[#This Row],[GOLES_VISITANTE_REAL]])</f>
        <v/>
      </c>
      <c r="L17" t="s">
        <v>243</v>
      </c>
      <c r="M17" t="s">
        <v>104</v>
      </c>
    </row>
    <row r="18" spans="1:13" x14ac:dyDescent="0.25">
      <c r="A18" s="308" t="str">
        <f t="shared" si="0"/>
        <v>C5</v>
      </c>
      <c r="B18" s="4" t="str">
        <f>MID('Grupo C'!$C$2,7,1)</f>
        <v>C</v>
      </c>
      <c r="C18" s="4">
        <v>5</v>
      </c>
      <c r="D18" t="str">
        <f>'Grupo C'!G$14</f>
        <v>Arabia Saudita</v>
      </c>
      <c r="E18">
        <v>1</v>
      </c>
      <c r="F18" t="str">
        <f>'Grupo C'!I$14</f>
        <v>México</v>
      </c>
      <c r="G18">
        <v>2</v>
      </c>
      <c r="H18" t="str">
        <f>IF([2]!Tabla1[[#This Row],[GOLES_LOCAL_REAL]]="","",[2]!Tabla1[[#This Row],[GOLES_LOCAL_REAL]])</f>
        <v/>
      </c>
      <c r="I18" t="str">
        <f>IF([2]!Tabla1[[#This Row],[GOLES_VISITANTE_REAL]]="","",[2]!Tabla1[[#This Row],[GOLES_VISITANTE_REAL]])</f>
        <v/>
      </c>
    </row>
    <row r="19" spans="1:13" x14ac:dyDescent="0.25">
      <c r="A19" s="308" t="str">
        <f t="shared" si="0"/>
        <v>C6</v>
      </c>
      <c r="B19" s="4" t="str">
        <f>MID('Grupo C'!$C$2,7,1)</f>
        <v>C</v>
      </c>
      <c r="C19" s="4">
        <v>6</v>
      </c>
      <c r="D19" t="str">
        <f>'Grupo C'!G$16</f>
        <v>Polonia</v>
      </c>
      <c r="E19">
        <v>1</v>
      </c>
      <c r="F19" t="str">
        <f>'Grupo C'!I$16</f>
        <v>Argentina</v>
      </c>
      <c r="G19">
        <v>2</v>
      </c>
      <c r="H19" t="str">
        <f>IF([2]!Tabla1[[#This Row],[GOLES_LOCAL_REAL]]="","",[2]!Tabla1[[#This Row],[GOLES_LOCAL_REAL]])</f>
        <v/>
      </c>
      <c r="I19" t="str">
        <f>IF([2]!Tabla1[[#This Row],[GOLES_VISITANTE_REAL]]="","",[2]!Tabla1[[#This Row],[GOLES_VISITANTE_REAL]])</f>
        <v/>
      </c>
      <c r="L19" t="s">
        <v>244</v>
      </c>
      <c r="M19" t="s">
        <v>245</v>
      </c>
    </row>
    <row r="20" spans="1:13" x14ac:dyDescent="0.25">
      <c r="A20" s="308" t="str">
        <f t="shared" si="0"/>
        <v>D1</v>
      </c>
      <c r="B20" s="4" t="str">
        <f>MID('Grupo D'!$C$2,7,1)</f>
        <v>D</v>
      </c>
      <c r="C20" s="4">
        <v>1</v>
      </c>
      <c r="D20" t="str">
        <f>'Grupo D'!G$6</f>
        <v>Francia</v>
      </c>
      <c r="E20">
        <v>2</v>
      </c>
      <c r="F20" t="str">
        <f>'Grupo D'!I$6</f>
        <v>Australia</v>
      </c>
      <c r="G20">
        <v>0</v>
      </c>
      <c r="H20" t="str">
        <f>IF([2]!Tabla1[[#This Row],[GOLES_LOCAL_REAL]]="","",[2]!Tabla1[[#This Row],[GOLES_LOCAL_REAL]])</f>
        <v/>
      </c>
      <c r="I20" t="str">
        <f>IF([2]!Tabla1[[#This Row],[GOLES_VISITANTE_REAL]]="","",[2]!Tabla1[[#This Row],[GOLES_VISITANTE_REAL]])</f>
        <v/>
      </c>
      <c r="L20" t="s">
        <v>240</v>
      </c>
      <c r="M20" t="s">
        <v>246</v>
      </c>
    </row>
    <row r="21" spans="1:13" x14ac:dyDescent="0.25">
      <c r="A21" s="308" t="str">
        <f t="shared" si="0"/>
        <v>D2</v>
      </c>
      <c r="B21" s="4" t="str">
        <f>MID('Grupo D'!$C$2,7,1)</f>
        <v>D</v>
      </c>
      <c r="C21" s="4">
        <v>2</v>
      </c>
      <c r="D21" t="str">
        <f>'Grupo D'!G$8</f>
        <v>Dinamarca</v>
      </c>
      <c r="E21">
        <v>2</v>
      </c>
      <c r="F21" t="str">
        <f>'Grupo D'!I$8</f>
        <v>Túnez</v>
      </c>
      <c r="G21">
        <v>1</v>
      </c>
      <c r="H21" t="str">
        <f>IF([2]!Tabla1[[#This Row],[GOLES_LOCAL_REAL]]="","",[2]!Tabla1[[#This Row],[GOLES_LOCAL_REAL]])</f>
        <v/>
      </c>
      <c r="I21" t="str">
        <f>IF([2]!Tabla1[[#This Row],[GOLES_VISITANTE_REAL]]="","",[2]!Tabla1[[#This Row],[GOLES_VISITANTE_REAL]])</f>
        <v/>
      </c>
      <c r="L21" t="s">
        <v>241</v>
      </c>
      <c r="M21" t="s">
        <v>247</v>
      </c>
    </row>
    <row r="22" spans="1:13" x14ac:dyDescent="0.25">
      <c r="A22" s="308" t="str">
        <f t="shared" si="0"/>
        <v>D3</v>
      </c>
      <c r="B22" s="4" t="str">
        <f>MID('Grupo D'!$C$2,7,1)</f>
        <v>D</v>
      </c>
      <c r="C22" s="4">
        <v>3</v>
      </c>
      <c r="D22" t="str">
        <f>'Grupo D'!G$10</f>
        <v>Túnez</v>
      </c>
      <c r="E22">
        <v>1</v>
      </c>
      <c r="F22" t="str">
        <f>'Grupo D'!I$10</f>
        <v>Australia</v>
      </c>
      <c r="G22">
        <v>1</v>
      </c>
      <c r="H22" t="str">
        <f>IF([2]!Tabla1[[#This Row],[GOLES_LOCAL_REAL]]="","",[2]!Tabla1[[#This Row],[GOLES_LOCAL_REAL]])</f>
        <v/>
      </c>
      <c r="I22" t="str">
        <f>IF([2]!Tabla1[[#This Row],[GOLES_VISITANTE_REAL]]="","",[2]!Tabla1[[#This Row],[GOLES_VISITANTE_REAL]])</f>
        <v/>
      </c>
    </row>
    <row r="23" spans="1:13" x14ac:dyDescent="0.25">
      <c r="A23" s="308" t="str">
        <f t="shared" si="0"/>
        <v>D4</v>
      </c>
      <c r="B23" s="4" t="str">
        <f>MID('Grupo D'!$C$2,7,1)</f>
        <v>D</v>
      </c>
      <c r="C23" s="4">
        <v>4</v>
      </c>
      <c r="D23" t="str">
        <f>'Grupo D'!G$12</f>
        <v>Francia</v>
      </c>
      <c r="E23">
        <v>2</v>
      </c>
      <c r="F23" t="str">
        <f>'Grupo D'!I$12</f>
        <v>Dinamarca</v>
      </c>
      <c r="G23">
        <v>1</v>
      </c>
      <c r="H23" t="str">
        <f>IF([2]!Tabla1[[#This Row],[GOLES_LOCAL_REAL]]="","",[2]!Tabla1[[#This Row],[GOLES_LOCAL_REAL]])</f>
        <v/>
      </c>
      <c r="I23" t="str">
        <f>IF([2]!Tabla1[[#This Row],[GOLES_VISITANTE_REAL]]="","",[2]!Tabla1[[#This Row],[GOLES_VISITANTE_REAL]])</f>
        <v/>
      </c>
    </row>
    <row r="24" spans="1:13" x14ac:dyDescent="0.25">
      <c r="A24" s="308" t="str">
        <f t="shared" si="0"/>
        <v>D5</v>
      </c>
      <c r="B24" s="4" t="str">
        <f>MID('Grupo D'!$C$2,7,1)</f>
        <v>D</v>
      </c>
      <c r="C24" s="4">
        <v>5</v>
      </c>
      <c r="D24" t="str">
        <f>'Grupo D'!G$14</f>
        <v>Australia</v>
      </c>
      <c r="E24">
        <v>1</v>
      </c>
      <c r="F24" t="str">
        <f>'Grupo D'!I$14</f>
        <v>Dinamarca</v>
      </c>
      <c r="G24">
        <v>2</v>
      </c>
      <c r="H24" t="str">
        <f>IF([2]!Tabla1[[#This Row],[GOLES_LOCAL_REAL]]="","",[2]!Tabla1[[#This Row],[GOLES_LOCAL_REAL]])</f>
        <v/>
      </c>
      <c r="I24" t="str">
        <f>IF([2]!Tabla1[[#This Row],[GOLES_VISITANTE_REAL]]="","",[2]!Tabla1[[#This Row],[GOLES_VISITANTE_REAL]])</f>
        <v/>
      </c>
    </row>
    <row r="25" spans="1:13" x14ac:dyDescent="0.25">
      <c r="A25" s="308" t="str">
        <f t="shared" si="0"/>
        <v>D6</v>
      </c>
      <c r="B25" s="4" t="str">
        <f>MID('Grupo D'!$C$2,7,1)</f>
        <v>D</v>
      </c>
      <c r="C25" s="4">
        <v>6</v>
      </c>
      <c r="D25" t="str">
        <f>'Grupo D'!G$16</f>
        <v>Túnez</v>
      </c>
      <c r="E25">
        <v>0</v>
      </c>
      <c r="F25" t="str">
        <f>'Grupo D'!I$16</f>
        <v>Francia</v>
      </c>
      <c r="G25">
        <v>3</v>
      </c>
      <c r="H25" t="str">
        <f>IF([2]!Tabla1[[#This Row],[GOLES_LOCAL_REAL]]="","",[2]!Tabla1[[#This Row],[GOLES_LOCAL_REAL]])</f>
        <v/>
      </c>
      <c r="I25" t="str">
        <f>IF([2]!Tabla1[[#This Row],[GOLES_VISITANTE_REAL]]="","",[2]!Tabla1[[#This Row],[GOLES_VISITANTE_REAL]])</f>
        <v/>
      </c>
    </row>
    <row r="26" spans="1:13" x14ac:dyDescent="0.25">
      <c r="A26" s="308" t="str">
        <f t="shared" si="0"/>
        <v>E1</v>
      </c>
      <c r="B26" s="308" t="s">
        <v>14</v>
      </c>
      <c r="C26" s="4">
        <v>1</v>
      </c>
      <c r="D26" t="str">
        <f>'Grupo E'!G$6</f>
        <v>España</v>
      </c>
      <c r="E26">
        <v>2</v>
      </c>
      <c r="F26" t="str">
        <f>'Grupo E'!I$6</f>
        <v>Costa Rica</v>
      </c>
      <c r="G26">
        <v>0</v>
      </c>
      <c r="H26" t="str">
        <f>IF([2]!Tabla1[[#This Row],[GOLES_LOCAL_REAL]]="","",[2]!Tabla1[[#This Row],[GOLES_LOCAL_REAL]])</f>
        <v/>
      </c>
      <c r="I26" t="str">
        <f>IF([2]!Tabla1[[#This Row],[GOLES_VISITANTE_REAL]]="","",[2]!Tabla1[[#This Row],[GOLES_VISITANTE_REAL]])</f>
        <v/>
      </c>
    </row>
    <row r="27" spans="1:13" x14ac:dyDescent="0.25">
      <c r="A27" s="308" t="str">
        <f t="shared" si="0"/>
        <v>E2</v>
      </c>
      <c r="B27" s="308" t="s">
        <v>14</v>
      </c>
      <c r="C27" s="4">
        <v>2</v>
      </c>
      <c r="D27" t="str">
        <f>'Grupo E'!G$8</f>
        <v>Alemania</v>
      </c>
      <c r="E27">
        <v>4</v>
      </c>
      <c r="F27" t="str">
        <f>'Grupo E'!I$8</f>
        <v>Japón</v>
      </c>
      <c r="G27">
        <v>1</v>
      </c>
      <c r="H27" t="str">
        <f>IF([2]!Tabla1[[#This Row],[GOLES_LOCAL_REAL]]="","",[2]!Tabla1[[#This Row],[GOLES_LOCAL_REAL]])</f>
        <v/>
      </c>
      <c r="I27" t="str">
        <f>IF([2]!Tabla1[[#This Row],[GOLES_VISITANTE_REAL]]="","",[2]!Tabla1[[#This Row],[GOLES_VISITANTE_REAL]])</f>
        <v/>
      </c>
    </row>
    <row r="28" spans="1:13" x14ac:dyDescent="0.25">
      <c r="A28" s="308" t="str">
        <f t="shared" si="0"/>
        <v>E3</v>
      </c>
      <c r="B28" s="308" t="s">
        <v>14</v>
      </c>
      <c r="C28" s="4">
        <v>3</v>
      </c>
      <c r="D28" t="str">
        <f>'Grupo E'!G$10</f>
        <v>Japón</v>
      </c>
      <c r="E28">
        <v>1</v>
      </c>
      <c r="F28" t="str">
        <f>'Grupo E'!I$10</f>
        <v>Costa Rica</v>
      </c>
      <c r="G28">
        <v>1</v>
      </c>
      <c r="H28" t="str">
        <f>IF([2]!Tabla1[[#This Row],[GOLES_LOCAL_REAL]]="","",[2]!Tabla1[[#This Row],[GOLES_LOCAL_REAL]])</f>
        <v/>
      </c>
      <c r="I28" t="str">
        <f>IF([2]!Tabla1[[#This Row],[GOLES_VISITANTE_REAL]]="","",[2]!Tabla1[[#This Row],[GOLES_VISITANTE_REAL]])</f>
        <v/>
      </c>
    </row>
    <row r="29" spans="1:13" x14ac:dyDescent="0.25">
      <c r="A29" s="308" t="str">
        <f t="shared" si="0"/>
        <v>E4</v>
      </c>
      <c r="B29" s="308" t="s">
        <v>14</v>
      </c>
      <c r="C29" s="4">
        <v>4</v>
      </c>
      <c r="D29" t="str">
        <f>'Grupo E'!G$12</f>
        <v>España</v>
      </c>
      <c r="E29">
        <v>1</v>
      </c>
      <c r="F29" t="str">
        <f>'Grupo E'!I$12</f>
        <v>Alemania</v>
      </c>
      <c r="G29">
        <v>1</v>
      </c>
      <c r="H29" t="str">
        <f>IF([2]!Tabla1[[#This Row],[GOLES_LOCAL_REAL]]="","",[2]!Tabla1[[#This Row],[GOLES_LOCAL_REAL]])</f>
        <v/>
      </c>
      <c r="I29" t="str">
        <f>IF([2]!Tabla1[[#This Row],[GOLES_VISITANTE_REAL]]="","",[2]!Tabla1[[#This Row],[GOLES_VISITANTE_REAL]])</f>
        <v/>
      </c>
    </row>
    <row r="30" spans="1:13" x14ac:dyDescent="0.25">
      <c r="A30" s="308" t="str">
        <f t="shared" si="0"/>
        <v>E5</v>
      </c>
      <c r="B30" s="308" t="s">
        <v>14</v>
      </c>
      <c r="C30" s="4">
        <v>5</v>
      </c>
      <c r="D30" t="str">
        <f>'Grupo E'!G$14</f>
        <v>Costa Rica</v>
      </c>
      <c r="E30">
        <v>1</v>
      </c>
      <c r="F30" t="str">
        <f>'Grupo E'!I$14</f>
        <v>Alemania</v>
      </c>
      <c r="G30">
        <v>3</v>
      </c>
      <c r="H30" t="str">
        <f>IF([2]!Tabla1[[#This Row],[GOLES_LOCAL_REAL]]="","",[2]!Tabla1[[#This Row],[GOLES_LOCAL_REAL]])</f>
        <v/>
      </c>
      <c r="I30" t="str">
        <f>IF([2]!Tabla1[[#This Row],[GOLES_VISITANTE_REAL]]="","",[2]!Tabla1[[#This Row],[GOLES_VISITANTE_REAL]])</f>
        <v/>
      </c>
    </row>
    <row r="31" spans="1:13" x14ac:dyDescent="0.25">
      <c r="A31" s="308" t="str">
        <f t="shared" si="0"/>
        <v>E6</v>
      </c>
      <c r="B31" s="308" t="s">
        <v>14</v>
      </c>
      <c r="C31" s="4">
        <v>6</v>
      </c>
      <c r="D31" t="str">
        <f>'Grupo E'!G$16</f>
        <v>Japón</v>
      </c>
      <c r="E31">
        <v>1</v>
      </c>
      <c r="F31" t="str">
        <f>'Grupo E'!I$16</f>
        <v>España</v>
      </c>
      <c r="G31">
        <v>3</v>
      </c>
      <c r="H31" t="str">
        <f>IF([2]!Tabla1[[#This Row],[GOLES_LOCAL_REAL]]="","",[2]!Tabla1[[#This Row],[GOLES_LOCAL_REAL]])</f>
        <v/>
      </c>
      <c r="I31" t="str">
        <f>IF([2]!Tabla1[[#This Row],[GOLES_VISITANTE_REAL]]="","",[2]!Tabla1[[#This Row],[GOLES_VISITANTE_REAL]])</f>
        <v/>
      </c>
    </row>
    <row r="32" spans="1:13" x14ac:dyDescent="0.25">
      <c r="A32" s="308" t="str">
        <f t="shared" si="0"/>
        <v>F1</v>
      </c>
      <c r="B32" s="308" t="s">
        <v>220</v>
      </c>
      <c r="C32" s="4">
        <v>1</v>
      </c>
      <c r="D32" t="str">
        <f>'Grupo F'!G$6</f>
        <v>Bélgica</v>
      </c>
      <c r="E32">
        <v>3</v>
      </c>
      <c r="F32" t="str">
        <f>'Grupo F'!I$6</f>
        <v>Canadá</v>
      </c>
      <c r="G32">
        <v>1</v>
      </c>
      <c r="H32" t="str">
        <f>IF([2]!Tabla1[[#This Row],[GOLES_LOCAL_REAL]]="","",[2]!Tabla1[[#This Row],[GOLES_LOCAL_REAL]])</f>
        <v/>
      </c>
      <c r="I32" t="str">
        <f>IF([2]!Tabla1[[#This Row],[GOLES_VISITANTE_REAL]]="","",[2]!Tabla1[[#This Row],[GOLES_VISITANTE_REAL]])</f>
        <v/>
      </c>
    </row>
    <row r="33" spans="1:9" x14ac:dyDescent="0.25">
      <c r="A33" s="308" t="str">
        <f t="shared" si="0"/>
        <v>F2</v>
      </c>
      <c r="B33" s="308" t="s">
        <v>220</v>
      </c>
      <c r="C33" s="4">
        <v>2</v>
      </c>
      <c r="D33" t="str">
        <f>'Grupo F'!G$8</f>
        <v>Marruecos</v>
      </c>
      <c r="E33">
        <v>0</v>
      </c>
      <c r="F33" t="str">
        <f>'Grupo F'!I$8</f>
        <v>Croacia</v>
      </c>
      <c r="G33">
        <v>2</v>
      </c>
      <c r="H33" t="str">
        <f>IF([2]!Tabla1[[#This Row],[GOLES_LOCAL_REAL]]="","",[2]!Tabla1[[#This Row],[GOLES_LOCAL_REAL]])</f>
        <v/>
      </c>
      <c r="I33" t="str">
        <f>IF([2]!Tabla1[[#This Row],[GOLES_VISITANTE_REAL]]="","",[2]!Tabla1[[#This Row],[GOLES_VISITANTE_REAL]])</f>
        <v/>
      </c>
    </row>
    <row r="34" spans="1:9" x14ac:dyDescent="0.25">
      <c r="A34" s="308" t="str">
        <f t="shared" si="0"/>
        <v>F3</v>
      </c>
      <c r="B34" s="308" t="s">
        <v>220</v>
      </c>
      <c r="C34" s="4">
        <v>3</v>
      </c>
      <c r="D34" t="str">
        <f>'Grupo F'!G$10</f>
        <v>Croacia</v>
      </c>
      <c r="E34">
        <v>2</v>
      </c>
      <c r="F34" t="str">
        <f>'Grupo F'!I$10</f>
        <v>Canadá</v>
      </c>
      <c r="G34">
        <v>1</v>
      </c>
      <c r="H34" t="str">
        <f>IF([2]!Tabla1[[#This Row],[GOLES_LOCAL_REAL]]="","",[2]!Tabla1[[#This Row],[GOLES_LOCAL_REAL]])</f>
        <v/>
      </c>
      <c r="I34" t="str">
        <f>IF([2]!Tabla1[[#This Row],[GOLES_VISITANTE_REAL]]="","",[2]!Tabla1[[#This Row],[GOLES_VISITANTE_REAL]])</f>
        <v/>
      </c>
    </row>
    <row r="35" spans="1:9" x14ac:dyDescent="0.25">
      <c r="A35" s="308" t="str">
        <f t="shared" si="0"/>
        <v>F4</v>
      </c>
      <c r="B35" s="308" t="s">
        <v>220</v>
      </c>
      <c r="C35" s="4">
        <v>4</v>
      </c>
      <c r="D35" t="str">
        <f>'Grupo F'!G$12</f>
        <v>Bélgica</v>
      </c>
      <c r="E35">
        <v>3</v>
      </c>
      <c r="F35" t="str">
        <f>'Grupo F'!I$12</f>
        <v>Marruecos</v>
      </c>
      <c r="G35">
        <v>0</v>
      </c>
      <c r="H35" t="str">
        <f>IF([2]!Tabla1[[#This Row],[GOLES_LOCAL_REAL]]="","",[2]!Tabla1[[#This Row],[GOLES_LOCAL_REAL]])</f>
        <v/>
      </c>
      <c r="I35" t="str">
        <f>IF([2]!Tabla1[[#This Row],[GOLES_VISITANTE_REAL]]="","",[2]!Tabla1[[#This Row],[GOLES_VISITANTE_REAL]])</f>
        <v/>
      </c>
    </row>
    <row r="36" spans="1:9" x14ac:dyDescent="0.25">
      <c r="A36" s="308" t="str">
        <f t="shared" si="0"/>
        <v>F5</v>
      </c>
      <c r="B36" s="308" t="s">
        <v>220</v>
      </c>
      <c r="C36" s="4">
        <v>5</v>
      </c>
      <c r="D36" t="str">
        <f>'Grupo F'!G$14</f>
        <v>Canadá</v>
      </c>
      <c r="E36">
        <v>1</v>
      </c>
      <c r="F36" t="str">
        <f>'Grupo F'!I$14</f>
        <v>Marruecos</v>
      </c>
      <c r="G36">
        <v>0</v>
      </c>
      <c r="H36" t="str">
        <f>IF([2]!Tabla1[[#This Row],[GOLES_LOCAL_REAL]]="","",[2]!Tabla1[[#This Row],[GOLES_LOCAL_REAL]])</f>
        <v/>
      </c>
      <c r="I36" t="str">
        <f>IF([2]!Tabla1[[#This Row],[GOLES_VISITANTE_REAL]]="","",[2]!Tabla1[[#This Row],[GOLES_VISITANTE_REAL]])</f>
        <v/>
      </c>
    </row>
    <row r="37" spans="1:9" x14ac:dyDescent="0.25">
      <c r="A37" s="308" t="str">
        <f t="shared" si="0"/>
        <v>F6</v>
      </c>
      <c r="B37" s="308" t="s">
        <v>220</v>
      </c>
      <c r="C37" s="4">
        <v>6</v>
      </c>
      <c r="D37" t="str">
        <f>'Grupo F'!G$16</f>
        <v>Croacia</v>
      </c>
      <c r="E37">
        <v>1</v>
      </c>
      <c r="F37" t="str">
        <f>'Grupo F'!I$16</f>
        <v>Bélgica</v>
      </c>
      <c r="G37">
        <v>2</v>
      </c>
      <c r="H37" t="str">
        <f>IF([2]!Tabla1[[#This Row],[GOLES_LOCAL_REAL]]="","",[2]!Tabla1[[#This Row],[GOLES_LOCAL_REAL]])</f>
        <v/>
      </c>
      <c r="I37" t="str">
        <f>IF([2]!Tabla1[[#This Row],[GOLES_VISITANTE_REAL]]="","",[2]!Tabla1[[#This Row],[GOLES_VISITANTE_REAL]])</f>
        <v/>
      </c>
    </row>
    <row r="38" spans="1:9" x14ac:dyDescent="0.25">
      <c r="A38" s="308" t="str">
        <f t="shared" si="0"/>
        <v>G1</v>
      </c>
      <c r="B38" s="308" t="s">
        <v>13</v>
      </c>
      <c r="C38" s="4">
        <v>1</v>
      </c>
      <c r="D38" t="str">
        <f>'Grupo G'!G$6</f>
        <v>Brasil</v>
      </c>
      <c r="E38">
        <v>4</v>
      </c>
      <c r="F38" t="str">
        <f>'Grupo G'!I$6</f>
        <v>Serbia</v>
      </c>
      <c r="G38">
        <v>1</v>
      </c>
      <c r="H38" t="str">
        <f>IF([2]!Tabla1[[#This Row],[GOLES_LOCAL_REAL]]="","",[2]!Tabla1[[#This Row],[GOLES_LOCAL_REAL]])</f>
        <v/>
      </c>
      <c r="I38" t="str">
        <f>IF([2]!Tabla1[[#This Row],[GOLES_VISITANTE_REAL]]="","",[2]!Tabla1[[#This Row],[GOLES_VISITANTE_REAL]])</f>
        <v/>
      </c>
    </row>
    <row r="39" spans="1:9" x14ac:dyDescent="0.25">
      <c r="A39" s="308" t="str">
        <f t="shared" si="0"/>
        <v>G2</v>
      </c>
      <c r="B39" s="308" t="s">
        <v>13</v>
      </c>
      <c r="C39" s="4">
        <v>2</v>
      </c>
      <c r="D39" t="str">
        <f>'Grupo G'!G$8</f>
        <v>Suiza</v>
      </c>
      <c r="E39">
        <v>1</v>
      </c>
      <c r="F39" t="str">
        <f>'Grupo G'!I$8</f>
        <v>Camerún</v>
      </c>
      <c r="G39">
        <v>1</v>
      </c>
      <c r="H39" t="str">
        <f>IF([2]!Tabla1[[#This Row],[GOLES_LOCAL_REAL]]="","",[2]!Tabla1[[#This Row],[GOLES_LOCAL_REAL]])</f>
        <v/>
      </c>
      <c r="I39" t="str">
        <f>IF([2]!Tabla1[[#This Row],[GOLES_VISITANTE_REAL]]="","",[2]!Tabla1[[#This Row],[GOLES_VISITANTE_REAL]])</f>
        <v/>
      </c>
    </row>
    <row r="40" spans="1:9" x14ac:dyDescent="0.25">
      <c r="A40" s="308" t="str">
        <f t="shared" si="0"/>
        <v>G3</v>
      </c>
      <c r="B40" s="308" t="s">
        <v>13</v>
      </c>
      <c r="C40" s="4">
        <v>3</v>
      </c>
      <c r="D40" t="str">
        <f>'Grupo G'!G$10</f>
        <v>Camerún</v>
      </c>
      <c r="E40">
        <v>1</v>
      </c>
      <c r="F40" t="str">
        <f>'Grupo G'!I$10</f>
        <v>Serbia</v>
      </c>
      <c r="G40">
        <v>1</v>
      </c>
      <c r="H40" t="str">
        <f>IF([2]!Tabla1[[#This Row],[GOLES_LOCAL_REAL]]="","",[2]!Tabla1[[#This Row],[GOLES_LOCAL_REAL]])</f>
        <v/>
      </c>
      <c r="I40" t="str">
        <f>IF([2]!Tabla1[[#This Row],[GOLES_VISITANTE_REAL]]="","",[2]!Tabla1[[#This Row],[GOLES_VISITANTE_REAL]])</f>
        <v/>
      </c>
    </row>
    <row r="41" spans="1:9" x14ac:dyDescent="0.25">
      <c r="A41" s="308" t="str">
        <f t="shared" si="0"/>
        <v>G4</v>
      </c>
      <c r="B41" s="308" t="s">
        <v>13</v>
      </c>
      <c r="C41" s="4">
        <v>4</v>
      </c>
      <c r="D41" t="str">
        <f>'Grupo G'!G$12</f>
        <v>Brasil</v>
      </c>
      <c r="E41">
        <v>3</v>
      </c>
      <c r="F41" t="str">
        <f>'Grupo G'!I$12</f>
        <v>Suiza</v>
      </c>
      <c r="G41">
        <v>0</v>
      </c>
      <c r="H41" t="str">
        <f>IF([2]!Tabla1[[#This Row],[GOLES_LOCAL_REAL]]="","",[2]!Tabla1[[#This Row],[GOLES_LOCAL_REAL]])</f>
        <v/>
      </c>
      <c r="I41" t="str">
        <f>IF([2]!Tabla1[[#This Row],[GOLES_VISITANTE_REAL]]="","",[2]!Tabla1[[#This Row],[GOLES_VISITANTE_REAL]])</f>
        <v/>
      </c>
    </row>
    <row r="42" spans="1:9" x14ac:dyDescent="0.25">
      <c r="A42" s="308" t="str">
        <f t="shared" si="0"/>
        <v>G5</v>
      </c>
      <c r="B42" s="308" t="s">
        <v>13</v>
      </c>
      <c r="C42" s="4">
        <v>5</v>
      </c>
      <c r="D42" t="str">
        <f>'Grupo G'!G$14</f>
        <v>Serbia</v>
      </c>
      <c r="E42">
        <v>2</v>
      </c>
      <c r="F42" t="str">
        <f>'Grupo G'!I$14</f>
        <v>Suiza</v>
      </c>
      <c r="G42">
        <v>2</v>
      </c>
      <c r="H42" t="str">
        <f>IF([2]!Tabla1[[#This Row],[GOLES_LOCAL_REAL]]="","",[2]!Tabla1[[#This Row],[GOLES_LOCAL_REAL]])</f>
        <v/>
      </c>
      <c r="I42" t="str">
        <f>IF([2]!Tabla1[[#This Row],[GOLES_VISITANTE_REAL]]="","",[2]!Tabla1[[#This Row],[GOLES_VISITANTE_REAL]])</f>
        <v/>
      </c>
    </row>
    <row r="43" spans="1:9" x14ac:dyDescent="0.25">
      <c r="A43" s="308" t="str">
        <f t="shared" si="0"/>
        <v>G6</v>
      </c>
      <c r="B43" s="308" t="s">
        <v>13</v>
      </c>
      <c r="C43" s="4">
        <v>6</v>
      </c>
      <c r="D43" t="str">
        <f>'Grupo G'!G$16</f>
        <v>Camerún</v>
      </c>
      <c r="E43">
        <v>1</v>
      </c>
      <c r="F43" t="str">
        <f>'Grupo G'!I$16</f>
        <v>Brasil</v>
      </c>
      <c r="G43">
        <v>3</v>
      </c>
      <c r="H43" t="str">
        <f>IF([2]!Tabla1[[#This Row],[GOLES_LOCAL_REAL]]="","",[2]!Tabla1[[#This Row],[GOLES_LOCAL_REAL]])</f>
        <v/>
      </c>
      <c r="I43" t="str">
        <f>IF([2]!Tabla1[[#This Row],[GOLES_VISITANTE_REAL]]="","",[2]!Tabla1[[#This Row],[GOLES_VISITANTE_REAL]])</f>
        <v/>
      </c>
    </row>
    <row r="44" spans="1:9" x14ac:dyDescent="0.25">
      <c r="A44" s="308" t="str">
        <f t="shared" si="0"/>
        <v>H1</v>
      </c>
      <c r="B44" s="308" t="s">
        <v>221</v>
      </c>
      <c r="C44" s="4">
        <v>1</v>
      </c>
      <c r="D44" t="str">
        <f>'Grupo H'!G$6</f>
        <v>Portugal</v>
      </c>
      <c r="E44">
        <v>2</v>
      </c>
      <c r="F44" t="str">
        <f>'Grupo H'!I$6</f>
        <v>Ghana</v>
      </c>
      <c r="G44">
        <v>0</v>
      </c>
      <c r="H44" t="str">
        <f>IF([2]!Tabla1[[#This Row],[GOLES_LOCAL_REAL]]="","",[2]!Tabla1[[#This Row],[GOLES_LOCAL_REAL]])</f>
        <v/>
      </c>
      <c r="I44" t="str">
        <f>IF([2]!Tabla1[[#This Row],[GOLES_VISITANTE_REAL]]="","",[2]!Tabla1[[#This Row],[GOLES_VISITANTE_REAL]])</f>
        <v/>
      </c>
    </row>
    <row r="45" spans="1:9" x14ac:dyDescent="0.25">
      <c r="A45" s="308" t="str">
        <f t="shared" si="0"/>
        <v>H2</v>
      </c>
      <c r="B45" s="308" t="s">
        <v>221</v>
      </c>
      <c r="C45" s="4">
        <v>2</v>
      </c>
      <c r="D45" t="str">
        <f>'Grupo H'!G$8</f>
        <v>Uruguay</v>
      </c>
      <c r="E45">
        <v>3</v>
      </c>
      <c r="F45" t="str">
        <f>'Grupo H'!I$8</f>
        <v>Corea del Sur</v>
      </c>
      <c r="G45">
        <v>1</v>
      </c>
      <c r="H45" t="str">
        <f>IF([2]!Tabla1[[#This Row],[GOLES_LOCAL_REAL]]="","",[2]!Tabla1[[#This Row],[GOLES_LOCAL_REAL]])</f>
        <v/>
      </c>
      <c r="I45" t="str">
        <f>IF([2]!Tabla1[[#This Row],[GOLES_VISITANTE_REAL]]="","",[2]!Tabla1[[#This Row],[GOLES_VISITANTE_REAL]])</f>
        <v/>
      </c>
    </row>
    <row r="46" spans="1:9" x14ac:dyDescent="0.25">
      <c r="A46" s="308" t="str">
        <f t="shared" si="0"/>
        <v>H3</v>
      </c>
      <c r="B46" s="308" t="s">
        <v>221</v>
      </c>
      <c r="C46" s="4">
        <v>3</v>
      </c>
      <c r="D46" t="str">
        <f>'Grupo H'!G$10</f>
        <v>Corea del Sur</v>
      </c>
      <c r="E46">
        <v>1</v>
      </c>
      <c r="F46" t="str">
        <f>'Grupo H'!I$10</f>
        <v>Ghana</v>
      </c>
      <c r="G46">
        <v>3</v>
      </c>
      <c r="H46" t="str">
        <f>IF([2]!Tabla1[[#This Row],[GOLES_LOCAL_REAL]]="","",[2]!Tabla1[[#This Row],[GOLES_LOCAL_REAL]])</f>
        <v/>
      </c>
      <c r="I46" t="str">
        <f>IF([2]!Tabla1[[#This Row],[GOLES_VISITANTE_REAL]]="","",[2]!Tabla1[[#This Row],[GOLES_VISITANTE_REAL]])</f>
        <v/>
      </c>
    </row>
    <row r="47" spans="1:9" x14ac:dyDescent="0.25">
      <c r="A47" s="308" t="str">
        <f t="shared" si="0"/>
        <v>H4</v>
      </c>
      <c r="B47" s="308" t="s">
        <v>221</v>
      </c>
      <c r="C47" s="4">
        <v>4</v>
      </c>
      <c r="D47" t="str">
        <f>'Grupo H'!G$12</f>
        <v>Portugal</v>
      </c>
      <c r="E47">
        <v>2</v>
      </c>
      <c r="F47" t="str">
        <f>'Grupo H'!I$12</f>
        <v>Uruguay</v>
      </c>
      <c r="G47">
        <v>2</v>
      </c>
      <c r="H47" t="str">
        <f>IF([2]!Tabla1[[#This Row],[GOLES_LOCAL_REAL]]="","",[2]!Tabla1[[#This Row],[GOLES_LOCAL_REAL]])</f>
        <v/>
      </c>
      <c r="I47" t="str">
        <f>IF([2]!Tabla1[[#This Row],[GOLES_VISITANTE_REAL]]="","",[2]!Tabla1[[#This Row],[GOLES_VISITANTE_REAL]])</f>
        <v/>
      </c>
    </row>
    <row r="48" spans="1:9" x14ac:dyDescent="0.25">
      <c r="A48" s="308" t="str">
        <f t="shared" si="0"/>
        <v>H5</v>
      </c>
      <c r="B48" s="308" t="s">
        <v>221</v>
      </c>
      <c r="C48" s="4">
        <v>5</v>
      </c>
      <c r="D48" t="str">
        <f>'Grupo H'!G$14</f>
        <v>Ghana</v>
      </c>
      <c r="E48">
        <v>1</v>
      </c>
      <c r="F48" t="str">
        <f>'Grupo H'!I$14</f>
        <v>Uruguay</v>
      </c>
      <c r="G48">
        <v>1</v>
      </c>
      <c r="H48" t="str">
        <f>IF([2]!Tabla1[[#This Row],[GOLES_LOCAL_REAL]]="","",[2]!Tabla1[[#This Row],[GOLES_LOCAL_REAL]])</f>
        <v/>
      </c>
      <c r="I48" t="str">
        <f>IF([2]!Tabla1[[#This Row],[GOLES_VISITANTE_REAL]]="","",[2]!Tabla1[[#This Row],[GOLES_VISITANTE_REAL]])</f>
        <v/>
      </c>
    </row>
    <row r="49" spans="1:9" x14ac:dyDescent="0.25">
      <c r="A49" s="308" t="str">
        <f t="shared" si="0"/>
        <v>H6</v>
      </c>
      <c r="B49" s="308" t="s">
        <v>221</v>
      </c>
      <c r="C49" s="4">
        <v>6</v>
      </c>
      <c r="D49" t="str">
        <f>'Grupo H'!G$16</f>
        <v>Corea del Sur</v>
      </c>
      <c r="E49">
        <v>0</v>
      </c>
      <c r="F49" t="str">
        <f>'Grupo H'!I$16</f>
        <v>Portugal</v>
      </c>
      <c r="G49">
        <v>2</v>
      </c>
      <c r="H49" t="str">
        <f>IF([2]!Tabla1[[#This Row],[GOLES_LOCAL_REAL]]="","",[2]!Tabla1[[#This Row],[GOLES_LOCAL_REAL]])</f>
        <v/>
      </c>
      <c r="I49" t="str">
        <f>IF([2]!Tabla1[[#This Row],[GOLES_VISITANTE_REAL]]="","",[2]!Tabla1[[#This Row],[GOLES_VISITANTE_REAL]])</f>
        <v/>
      </c>
    </row>
    <row r="50" spans="1:9" x14ac:dyDescent="0.25">
      <c r="A50" s="308" t="str">
        <f>CONCATENATE(B50,C50)</f>
        <v>OF1</v>
      </c>
      <c r="B50" s="308" t="s">
        <v>222</v>
      </c>
      <c r="C50" s="308">
        <v>1</v>
      </c>
      <c r="D50" t="str">
        <f>'Cuadro Final'!C5</f>
        <v>Qatar</v>
      </c>
      <c r="E50">
        <v>0</v>
      </c>
      <c r="F50" t="str">
        <f>'Cuadro Final'!C10</f>
        <v>Gales</v>
      </c>
      <c r="G50">
        <v>0</v>
      </c>
      <c r="H50" t="str">
        <f>IF([2]!Tabla1[[#This Row],[GOLES_LOCAL_REAL]]="","",[2]!Tabla1[[#This Row],[GOLES_LOCAL_REAL]])</f>
        <v/>
      </c>
      <c r="I50" t="str">
        <f>IF([2]!Tabla1[[#This Row],[GOLES_VISITANTE_REAL]]="","",[2]!Tabla1[[#This Row],[GOLES_VISITANTE_REAL]])</f>
        <v/>
      </c>
    </row>
    <row r="51" spans="1:9" x14ac:dyDescent="0.25">
      <c r="A51" s="308" t="str">
        <f t="shared" si="0"/>
        <v>OF2</v>
      </c>
      <c r="B51" s="308" t="s">
        <v>222</v>
      </c>
      <c r="C51" s="308">
        <v>2</v>
      </c>
      <c r="D51" t="str">
        <f>'Cuadro Final'!C13</f>
        <v>Argentina</v>
      </c>
      <c r="E51">
        <v>0</v>
      </c>
      <c r="F51" t="str">
        <f>'Cuadro Final'!C18</f>
        <v>Túnez</v>
      </c>
      <c r="G51">
        <v>0</v>
      </c>
      <c r="H51" t="str">
        <f>IF([2]!Tabla1[[#This Row],[GOLES_LOCAL_REAL]]="","",[2]!Tabla1[[#This Row],[GOLES_LOCAL_REAL]])</f>
        <v/>
      </c>
      <c r="I51" t="str">
        <f>IF([2]!Tabla1[[#This Row],[GOLES_VISITANTE_REAL]]="","",[2]!Tabla1[[#This Row],[GOLES_VISITANTE_REAL]])</f>
        <v/>
      </c>
    </row>
    <row r="52" spans="1:9" x14ac:dyDescent="0.25">
      <c r="A52" s="308" t="str">
        <f t="shared" si="0"/>
        <v>OF3</v>
      </c>
      <c r="B52" s="308" t="s">
        <v>222</v>
      </c>
      <c r="C52" s="308">
        <v>3</v>
      </c>
      <c r="D52" t="str">
        <f>'Cuadro Final'!C21</f>
        <v>España</v>
      </c>
      <c r="E52">
        <v>0</v>
      </c>
      <c r="F52" t="str">
        <f>'Cuadro Final'!C26</f>
        <v>Croacia</v>
      </c>
      <c r="G52">
        <v>0</v>
      </c>
      <c r="H52" t="str">
        <f>IF([2]!Tabla1[[#This Row],[GOLES_LOCAL_REAL]]="","",[2]!Tabla1[[#This Row],[GOLES_LOCAL_REAL]])</f>
        <v/>
      </c>
      <c r="I52" t="str">
        <f>IF([2]!Tabla1[[#This Row],[GOLES_VISITANTE_REAL]]="","",[2]!Tabla1[[#This Row],[GOLES_VISITANTE_REAL]])</f>
        <v/>
      </c>
    </row>
    <row r="53" spans="1:9" x14ac:dyDescent="0.25">
      <c r="A53" s="308" t="str">
        <f t="shared" si="0"/>
        <v>OF4</v>
      </c>
      <c r="B53" s="308" t="s">
        <v>222</v>
      </c>
      <c r="C53" s="308">
        <v>4</v>
      </c>
      <c r="D53" t="str">
        <f>'Cuadro Final'!C29</f>
        <v>Brasil</v>
      </c>
      <c r="E53">
        <v>0</v>
      </c>
      <c r="F53" t="str">
        <f>'Cuadro Final'!C34</f>
        <v>Corea del Sur</v>
      </c>
      <c r="G53">
        <v>0</v>
      </c>
      <c r="H53" t="str">
        <f>IF([2]!Tabla1[[#This Row],[GOLES_LOCAL_REAL]]="","",[2]!Tabla1[[#This Row],[GOLES_LOCAL_REAL]])</f>
        <v/>
      </c>
      <c r="I53" t="str">
        <f>IF([2]!Tabla1[[#This Row],[GOLES_VISITANTE_REAL]]="","",[2]!Tabla1[[#This Row],[GOLES_VISITANTE_REAL]])</f>
        <v/>
      </c>
    </row>
    <row r="54" spans="1:9" x14ac:dyDescent="0.25">
      <c r="A54" s="308" t="str">
        <f t="shared" si="0"/>
        <v>OF5</v>
      </c>
      <c r="B54" s="308" t="s">
        <v>222</v>
      </c>
      <c r="C54" s="308">
        <v>5</v>
      </c>
      <c r="D54" t="str">
        <f>'Cuadro Final'!AA5</f>
        <v>Inglaterra</v>
      </c>
      <c r="E54">
        <v>0</v>
      </c>
      <c r="F54" t="str">
        <f>'Cuadro Final'!AA10</f>
        <v>Senegal</v>
      </c>
      <c r="G54">
        <v>0</v>
      </c>
      <c r="H54" t="str">
        <f>IF([2]!Tabla1[[#This Row],[GOLES_LOCAL_REAL]]="","",[2]!Tabla1[[#This Row],[GOLES_LOCAL_REAL]])</f>
        <v/>
      </c>
      <c r="I54" t="str">
        <f>IF([2]!Tabla1[[#This Row],[GOLES_VISITANTE_REAL]]="","",[2]!Tabla1[[#This Row],[GOLES_VISITANTE_REAL]])</f>
        <v/>
      </c>
    </row>
    <row r="55" spans="1:9" x14ac:dyDescent="0.25">
      <c r="A55" s="308" t="str">
        <f t="shared" si="0"/>
        <v>OF6</v>
      </c>
      <c r="B55" s="308" t="s">
        <v>222</v>
      </c>
      <c r="C55" s="308">
        <v>6</v>
      </c>
      <c r="D55" t="str">
        <f>'Cuadro Final'!AA13</f>
        <v>Francia</v>
      </c>
      <c r="E55">
        <v>0</v>
      </c>
      <c r="F55" t="str">
        <f>'Cuadro Final'!AA18</f>
        <v>México</v>
      </c>
      <c r="G55">
        <v>0</v>
      </c>
      <c r="H55" t="str">
        <f>IF([2]!Tabla1[[#This Row],[GOLES_LOCAL_REAL]]="","",[2]!Tabla1[[#This Row],[GOLES_LOCAL_REAL]])</f>
        <v/>
      </c>
      <c r="I55" t="str">
        <f>IF([2]!Tabla1[[#This Row],[GOLES_VISITANTE_REAL]]="","",[2]!Tabla1[[#This Row],[GOLES_VISITANTE_REAL]])</f>
        <v/>
      </c>
    </row>
    <row r="56" spans="1:9" x14ac:dyDescent="0.25">
      <c r="A56" s="308" t="str">
        <f t="shared" si="0"/>
        <v>OF7</v>
      </c>
      <c r="B56" s="308" t="s">
        <v>222</v>
      </c>
      <c r="C56" s="308">
        <v>7</v>
      </c>
      <c r="D56" t="str">
        <f>'Cuadro Final'!AA21</f>
        <v>Bélgica</v>
      </c>
      <c r="E56">
        <v>0</v>
      </c>
      <c r="F56" t="str">
        <f>'Cuadro Final'!AA26</f>
        <v>Japón</v>
      </c>
      <c r="G56">
        <v>0</v>
      </c>
      <c r="H56" t="str">
        <f>IF([2]!Tabla1[[#This Row],[GOLES_LOCAL_REAL]]="","",[2]!Tabla1[[#This Row],[GOLES_LOCAL_REAL]])</f>
        <v/>
      </c>
      <c r="I56" t="str">
        <f>IF([2]!Tabla1[[#This Row],[GOLES_VISITANTE_REAL]]="","",[2]!Tabla1[[#This Row],[GOLES_VISITANTE_REAL]])</f>
        <v/>
      </c>
    </row>
    <row r="57" spans="1:9" x14ac:dyDescent="0.25">
      <c r="A57" s="308" t="str">
        <f t="shared" si="0"/>
        <v>OF8</v>
      </c>
      <c r="B57" s="308" t="s">
        <v>222</v>
      </c>
      <c r="C57" s="308">
        <v>8</v>
      </c>
      <c r="D57" t="str">
        <f>'Cuadro Final'!AA29</f>
        <v>Portugal</v>
      </c>
      <c r="E57">
        <v>0</v>
      </c>
      <c r="F57" t="str">
        <f>'Cuadro Final'!AA34</f>
        <v>Camerún</v>
      </c>
      <c r="G57">
        <v>0</v>
      </c>
      <c r="H57" t="str">
        <f>IF([2]!Tabla1[[#This Row],[GOLES_LOCAL_REAL]]="","",[2]!Tabla1[[#This Row],[GOLES_LOCAL_REAL]])</f>
        <v/>
      </c>
      <c r="I57" t="str">
        <f>IF([2]!Tabla1[[#This Row],[GOLES_VISITANTE_REAL]]="","",[2]!Tabla1[[#This Row],[GOLES_VISITANTE_REAL]])</f>
        <v/>
      </c>
    </row>
    <row r="58" spans="1:9" x14ac:dyDescent="0.25">
      <c r="A58" s="308" t="str">
        <f t="shared" si="0"/>
        <v>CF1</v>
      </c>
      <c r="B58" s="308" t="s">
        <v>223</v>
      </c>
      <c r="C58" s="308">
        <v>1</v>
      </c>
      <c r="D58">
        <f>'Cuadro Final'!F7</f>
        <v>0</v>
      </c>
      <c r="E58">
        <v>0</v>
      </c>
      <c r="F58">
        <f>'Cuadro Final'!F15</f>
        <v>0</v>
      </c>
      <c r="G58">
        <v>0</v>
      </c>
      <c r="H58" t="str">
        <f>IF([2]!Tabla1[[#This Row],[GOLES_LOCAL_REAL]]="","",[2]!Tabla1[[#This Row],[GOLES_LOCAL_REAL]])</f>
        <v/>
      </c>
      <c r="I58" t="str">
        <f>IF([2]!Tabla1[[#This Row],[GOLES_VISITANTE_REAL]]="","",[2]!Tabla1[[#This Row],[GOLES_VISITANTE_REAL]])</f>
        <v/>
      </c>
    </row>
    <row r="59" spans="1:9" x14ac:dyDescent="0.25">
      <c r="A59" s="308" t="str">
        <f t="shared" si="0"/>
        <v>CF2</v>
      </c>
      <c r="B59" s="308" t="s">
        <v>223</v>
      </c>
      <c r="C59" s="308">
        <v>2</v>
      </c>
      <c r="D59">
        <f>'Cuadro Final'!F23</f>
        <v>0</v>
      </c>
      <c r="E59">
        <v>0</v>
      </c>
      <c r="F59">
        <f>'Cuadro Final'!F31</f>
        <v>0</v>
      </c>
      <c r="G59">
        <v>0</v>
      </c>
      <c r="H59" t="str">
        <f>IF([2]!Tabla1[[#This Row],[GOLES_LOCAL_REAL]]="","",[2]!Tabla1[[#This Row],[GOLES_LOCAL_REAL]])</f>
        <v/>
      </c>
      <c r="I59" t="str">
        <f>IF([2]!Tabla1[[#This Row],[GOLES_VISITANTE_REAL]]="","",[2]!Tabla1[[#This Row],[GOLES_VISITANTE_REAL]])</f>
        <v/>
      </c>
    </row>
    <row r="60" spans="1:9" x14ac:dyDescent="0.25">
      <c r="A60" s="308" t="str">
        <f t="shared" si="0"/>
        <v>CF3</v>
      </c>
      <c r="B60" s="308" t="s">
        <v>223</v>
      </c>
      <c r="C60" s="308">
        <v>3</v>
      </c>
      <c r="D60">
        <f>'Cuadro Final'!X7</f>
        <v>0</v>
      </c>
      <c r="E60">
        <v>0</v>
      </c>
      <c r="F60">
        <f>'Cuadro Final'!X15</f>
        <v>0</v>
      </c>
      <c r="G60">
        <v>0</v>
      </c>
      <c r="H60" t="str">
        <f>IF([2]!Tabla1[[#This Row],[GOLES_LOCAL_REAL]]="","",[2]!Tabla1[[#This Row],[GOLES_LOCAL_REAL]])</f>
        <v/>
      </c>
      <c r="I60" t="str">
        <f>IF([2]!Tabla1[[#This Row],[GOLES_VISITANTE_REAL]]="","",[2]!Tabla1[[#This Row],[GOLES_VISITANTE_REAL]])</f>
        <v/>
      </c>
    </row>
    <row r="61" spans="1:9" x14ac:dyDescent="0.25">
      <c r="A61" s="308" t="str">
        <f t="shared" si="0"/>
        <v>CF4</v>
      </c>
      <c r="B61" s="308" t="s">
        <v>223</v>
      </c>
      <c r="C61" s="308">
        <v>4</v>
      </c>
      <c r="D61">
        <f>'Cuadro Final'!X23</f>
        <v>0</v>
      </c>
      <c r="E61">
        <v>0</v>
      </c>
      <c r="F61">
        <f>'Cuadro Final'!X31</f>
        <v>0</v>
      </c>
      <c r="G61">
        <v>0</v>
      </c>
      <c r="H61" t="str">
        <f>IF([2]!Tabla1[[#This Row],[GOLES_LOCAL_REAL]]="","",[2]!Tabla1[[#This Row],[GOLES_LOCAL_REAL]])</f>
        <v/>
      </c>
      <c r="I61" t="str">
        <f>IF([2]!Tabla1[[#This Row],[GOLES_VISITANTE_REAL]]="","",[2]!Tabla1[[#This Row],[GOLES_VISITANTE_REAL]])</f>
        <v/>
      </c>
    </row>
    <row r="62" spans="1:9" x14ac:dyDescent="0.25">
      <c r="A62" s="308" t="str">
        <f t="shared" si="0"/>
        <v>SF1</v>
      </c>
      <c r="B62" s="308" t="s">
        <v>224</v>
      </c>
      <c r="C62" s="308">
        <v>1</v>
      </c>
      <c r="D62">
        <f>'Cuadro Final'!I11</f>
        <v>0</v>
      </c>
      <c r="E62">
        <v>0</v>
      </c>
      <c r="F62">
        <f>'Cuadro Final'!I27</f>
        <v>0</v>
      </c>
      <c r="G62">
        <v>0</v>
      </c>
      <c r="H62" t="str">
        <f>IF([2]!Tabla1[[#This Row],[GOLES_LOCAL_REAL]]="","",[2]!Tabla1[[#This Row],[GOLES_LOCAL_REAL]])</f>
        <v/>
      </c>
      <c r="I62" t="str">
        <f>IF([2]!Tabla1[[#This Row],[GOLES_VISITANTE_REAL]]="","",[2]!Tabla1[[#This Row],[GOLES_VISITANTE_REAL]])</f>
        <v/>
      </c>
    </row>
    <row r="63" spans="1:9" x14ac:dyDescent="0.25">
      <c r="A63" s="308" t="str">
        <f t="shared" si="0"/>
        <v>SF2</v>
      </c>
      <c r="B63" s="308" t="s">
        <v>224</v>
      </c>
      <c r="C63" s="308">
        <v>2</v>
      </c>
      <c r="D63">
        <f>'Cuadro Final'!U11</f>
        <v>0</v>
      </c>
      <c r="E63">
        <v>0</v>
      </c>
      <c r="F63">
        <f>'Cuadro Final'!U27</f>
        <v>0</v>
      </c>
      <c r="G63">
        <v>0</v>
      </c>
      <c r="H63" t="str">
        <f>IF([2]!Tabla1[[#This Row],[GOLES_LOCAL_REAL]]="","",[2]!Tabla1[[#This Row],[GOLES_LOCAL_REAL]])</f>
        <v/>
      </c>
      <c r="I63" t="str">
        <f>IF([2]!Tabla1[[#This Row],[GOLES_VISITANTE_REAL]]="","",[2]!Tabla1[[#This Row],[GOLES_VISITANTE_REAL]])</f>
        <v/>
      </c>
    </row>
    <row r="64" spans="1:9" x14ac:dyDescent="0.25">
      <c r="A64" s="308" t="str">
        <f t="shared" si="0"/>
        <v>3F1</v>
      </c>
      <c r="B64" s="308" t="s">
        <v>225</v>
      </c>
      <c r="C64" s="308">
        <v>1</v>
      </c>
      <c r="D64">
        <f>'Cuadro Final'!L32</f>
        <v>0</v>
      </c>
      <c r="E64">
        <v>0</v>
      </c>
      <c r="F64">
        <f>'Cuadro Final'!R32</f>
        <v>0</v>
      </c>
      <c r="G64">
        <v>0</v>
      </c>
      <c r="H64" t="str">
        <f>IF([2]!Tabla1[[#This Row],[GOLES_LOCAL_REAL]]="","",[2]!Tabla1[[#This Row],[GOLES_LOCAL_REAL]])</f>
        <v/>
      </c>
      <c r="I64" t="str">
        <f>IF([2]!Tabla1[[#This Row],[GOLES_VISITANTE_REAL]]="","",[2]!Tabla1[[#This Row],[GOLES_VISITANTE_REAL]])</f>
        <v/>
      </c>
    </row>
    <row r="65" spans="1:9" x14ac:dyDescent="0.25">
      <c r="A65" s="308" t="str">
        <f t="shared" si="0"/>
        <v>1F1</v>
      </c>
      <c r="B65" s="308" t="s">
        <v>45</v>
      </c>
      <c r="C65" s="308">
        <v>1</v>
      </c>
      <c r="D65">
        <f>'Cuadro Final'!L19</f>
        <v>0</v>
      </c>
      <c r="E65">
        <v>0</v>
      </c>
      <c r="F65">
        <f>'Cuadro Final'!R19</f>
        <v>0</v>
      </c>
      <c r="G65">
        <v>0</v>
      </c>
      <c r="H65" t="str">
        <f>IF([2]!Tabla1[[#This Row],[GOLES_LOCAL_REAL]]="","",[2]!Tabla1[[#This Row],[GOLES_LOCAL_REAL]])</f>
        <v/>
      </c>
      <c r="I65" t="str">
        <f>IF([2]!Tabla1[[#This Row],[GOLES_VISITANTE_REAL]]="","",[2]!Tabla1[[#This Row],[GOLES_VISITANTE_REAL]])</f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tabSelected="1" zoomScale="80" zoomScaleNormal="80" workbookViewId="0">
      <selection activeCell="J7" sqref="J7"/>
    </sheetView>
  </sheetViews>
  <sheetFormatPr baseColWidth="10" defaultColWidth="11.5703125" defaultRowHeight="15" x14ac:dyDescent="0.25"/>
  <cols>
    <col min="1" max="1" width="1" style="38" customWidth="1"/>
    <col min="2" max="2" width="6.85546875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/>
    <col min="24" max="32" width="11.42578125" style="38" customWidth="1"/>
    <col min="33" max="33" width="11.85546875" style="38" customWidth="1"/>
    <col min="34" max="37" width="11.42578125" style="38" customWidth="1"/>
    <col min="38" max="39" width="11.85546875" style="38" customWidth="1"/>
    <col min="40" max="44" width="11.42578125" style="38" customWidth="1"/>
    <col min="45" max="45" width="15.42578125" style="38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390" t="s">
        <v>6</v>
      </c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2"/>
    </row>
    <row r="3" spans="2:46" ht="15.75" customHeight="1" thickBot="1" x14ac:dyDescent="0.3">
      <c r="C3" s="393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5"/>
    </row>
    <row r="4" spans="2:46" x14ac:dyDescent="0.25">
      <c r="C4" s="405" t="s">
        <v>28</v>
      </c>
      <c r="D4" s="406"/>
      <c r="E4" s="406"/>
      <c r="F4" s="406"/>
      <c r="G4" s="406"/>
      <c r="H4" s="406"/>
      <c r="I4" s="406"/>
      <c r="J4" s="407"/>
      <c r="K4" s="414" t="s">
        <v>24</v>
      </c>
      <c r="L4" s="397"/>
      <c r="M4" s="415"/>
      <c r="N4" s="396" t="s">
        <v>21</v>
      </c>
      <c r="O4" s="397"/>
      <c r="P4" s="397"/>
      <c r="Q4" s="397"/>
      <c r="R4" s="397"/>
      <c r="S4" s="397"/>
      <c r="T4" s="397"/>
      <c r="U4" s="397"/>
      <c r="V4" s="398"/>
    </row>
    <row r="5" spans="2:46" ht="15.75" thickBot="1" x14ac:dyDescent="0.3">
      <c r="C5" s="176" t="s">
        <v>0</v>
      </c>
      <c r="D5" s="309" t="s">
        <v>1</v>
      </c>
      <c r="E5" s="309" t="s">
        <v>196</v>
      </c>
      <c r="F5" s="309" t="s">
        <v>2</v>
      </c>
      <c r="G5" s="403" t="s">
        <v>3</v>
      </c>
      <c r="H5" s="403"/>
      <c r="I5" s="403"/>
      <c r="J5" s="404"/>
      <c r="K5" s="324" t="s">
        <v>9</v>
      </c>
      <c r="L5" s="184" t="s">
        <v>10</v>
      </c>
      <c r="M5" s="185" t="s">
        <v>11</v>
      </c>
      <c r="N5" s="399"/>
      <c r="O5" s="400"/>
      <c r="P5" s="400"/>
      <c r="Q5" s="400"/>
      <c r="R5" s="400"/>
      <c r="S5" s="400"/>
      <c r="T5" s="400"/>
      <c r="U5" s="400"/>
      <c r="V5" s="401"/>
    </row>
    <row r="6" spans="2:46" ht="15.75" thickBot="1" x14ac:dyDescent="0.3">
      <c r="B6" s="38" t="str">
        <f>CONCATENATE(MID($C$2,7,1),1)</f>
        <v>A1</v>
      </c>
      <c r="C6" s="408">
        <v>44885</v>
      </c>
      <c r="D6" s="410">
        <v>0.45833333333333331</v>
      </c>
      <c r="E6" s="412" t="s">
        <v>192</v>
      </c>
      <c r="F6" s="174" t="s">
        <v>7</v>
      </c>
      <c r="G6" s="439" t="str">
        <f>Z16</f>
        <v>Qatar</v>
      </c>
      <c r="H6" s="172">
        <f>VLOOKUP($B$6,DB_PARTIDOS!$A$1:$I$65,5)</f>
        <v>1</v>
      </c>
      <c r="I6" s="439" t="str">
        <f>Z19</f>
        <v>Ecuador</v>
      </c>
      <c r="J6" s="172">
        <f>VLOOKUP($B$6,DB_PARTIDOS!$A$1:$I$65,7)</f>
        <v>1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00" t="s">
        <v>12</v>
      </c>
      <c r="O6" s="115" t="s">
        <v>13</v>
      </c>
      <c r="P6" s="115" t="s">
        <v>14</v>
      </c>
      <c r="Q6" s="115" t="s">
        <v>15</v>
      </c>
      <c r="R6" s="115" t="s">
        <v>16</v>
      </c>
      <c r="S6" s="115" t="s">
        <v>17</v>
      </c>
      <c r="T6" s="115" t="s">
        <v>18</v>
      </c>
      <c r="U6" s="115" t="s">
        <v>19</v>
      </c>
      <c r="V6" s="116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9"/>
      <c r="D7" s="411"/>
      <c r="E7" s="389"/>
      <c r="F7" s="223" t="s">
        <v>8</v>
      </c>
      <c r="G7" s="413"/>
      <c r="H7" s="226" t="str">
        <f>IF(ISBLANK(VLOOKUP($B$6,DB_PARTIDOS!$A$1:$I$65,8)),"",VLOOKUP($B$6,DB_PARTIDOS!$A$1:$I$65,8))</f>
        <v/>
      </c>
      <c r="I7" s="413"/>
      <c r="J7" s="226" t="str">
        <f>IF(ISBLANK(VLOOKUP($B$6,DB_PARTIDOS!$A$1:$I$65,8)),"",VLOOKUP($B$6,DB_PARTIDOS!$A$1:$I$65,9))</f>
        <v/>
      </c>
      <c r="K7" s="386"/>
      <c r="L7" s="386"/>
      <c r="M7" s="417"/>
      <c r="N7" s="388" t="str">
        <f>Z21</f>
        <v>Qatar</v>
      </c>
      <c r="O7" s="389">
        <f t="shared" ref="O7:U7" si="0">AA21</f>
        <v>0</v>
      </c>
      <c r="P7" s="389">
        <f t="shared" si="0"/>
        <v>0</v>
      </c>
      <c r="Q7" s="389">
        <f t="shared" si="0"/>
        <v>0</v>
      </c>
      <c r="R7" s="389">
        <f t="shared" si="0"/>
        <v>0</v>
      </c>
      <c r="S7" s="389">
        <f t="shared" si="0"/>
        <v>0</v>
      </c>
      <c r="T7" s="389">
        <f t="shared" si="0"/>
        <v>0</v>
      </c>
      <c r="U7" s="389">
        <f t="shared" si="0"/>
        <v>0</v>
      </c>
      <c r="V7" s="402">
        <f>AH21</f>
        <v>0</v>
      </c>
      <c r="Z7" s="431" t="str">
        <f>Z16</f>
        <v>Qatar</v>
      </c>
      <c r="AA7" s="428">
        <f>SUM(IF(AND($H$7&lt;&gt;"",$J$7&lt;&gt;"",$H$7&gt;$J$7),1,0)+IF(AND($H$11&lt;&gt;"",$J$11&lt;&gt;"",$H$11&gt;$J$11),1,0)+IF(AND($H$15&lt;&gt;"",$J$15&lt;&gt;"",$J$15&gt;$H$15),1,0))</f>
        <v>0</v>
      </c>
      <c r="AB7" s="428">
        <f>SUM(IF(AND($H$7&lt;&gt;"",$J$7&lt;&gt;"",$H$7=$J$7),1,0)+IF(AND($H$11&lt;&gt;"",$J$11&lt;&gt;"",$H$11=$J$11),1,0)+IF(AND($H$15&lt;&gt;"",$J$15&lt;&gt;"",$J$15=$H$15),1,0))</f>
        <v>0</v>
      </c>
      <c r="AC7" s="428">
        <f>SUM(IF(AND($H$7&lt;&gt;"",$J$7&lt;&gt;"",$H$7&lt;$J$7),1,0)+IF(AND($H$11&lt;&gt;"",$J$11&lt;&gt;"",$H$11&lt;$J$11),1,0)+IF(AND($H$15&lt;&gt;"",$J$15&lt;&gt;"",$J$15&lt;$H$15),1,0))</f>
        <v>0</v>
      </c>
      <c r="AD7" s="428">
        <f>SUM($H$7,$H$11,$J$15)</f>
        <v>0</v>
      </c>
      <c r="AE7" s="428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A2</v>
      </c>
      <c r="C8" s="409">
        <v>44886</v>
      </c>
      <c r="D8" s="411">
        <v>0.45833333333333331</v>
      </c>
      <c r="E8" s="389" t="s">
        <v>193</v>
      </c>
      <c r="F8" s="175" t="s">
        <v>7</v>
      </c>
      <c r="G8" s="413" t="str">
        <f>Z17</f>
        <v>Senegal</v>
      </c>
      <c r="H8" s="113">
        <f>VLOOKUP(B8,DB_PARTIDOS!$A$1:$I$65,5)</f>
        <v>0</v>
      </c>
      <c r="I8" s="413" t="str">
        <f>Z18</f>
        <v>Países Bajos</v>
      </c>
      <c r="J8" s="113">
        <f>VLOOKUP($B$8,DB_PARTIDOS!$A$1:$I$65,7)</f>
        <v>3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388"/>
      <c r="O8" s="389"/>
      <c r="P8" s="389"/>
      <c r="Q8" s="389"/>
      <c r="R8" s="389"/>
      <c r="S8" s="389"/>
      <c r="T8" s="389"/>
      <c r="U8" s="389"/>
      <c r="V8" s="402"/>
      <c r="Z8" s="432"/>
      <c r="AA8" s="426"/>
      <c r="AB8" s="426"/>
      <c r="AC8" s="426"/>
      <c r="AD8" s="426"/>
      <c r="AE8" s="426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9"/>
      <c r="D9" s="411"/>
      <c r="E9" s="389"/>
      <c r="F9" s="223" t="s">
        <v>8</v>
      </c>
      <c r="G9" s="413"/>
      <c r="H9" s="226" t="str">
        <f>IF(ISBLANK(VLOOKUP($B$6,DB_PARTIDOS!$A$1:$I$65,8)),"",VLOOKUP($B$6,DB_PARTIDOS!$A$1:$I$65,8))</f>
        <v/>
      </c>
      <c r="I9" s="413"/>
      <c r="J9" s="226" t="str">
        <f>IF(ISBLANK(VLOOKUP($B$6,DB_PARTIDOS!$A$1:$I$65,8)),"",VLOOKUP($B$6,DB_PARTIDOS!$A$1:$I$65,9))</f>
        <v/>
      </c>
      <c r="K9" s="386"/>
      <c r="L9" s="386"/>
      <c r="M9" s="417"/>
      <c r="N9" s="388" t="str">
        <f>Z22</f>
        <v>Senegal</v>
      </c>
      <c r="O9" s="389">
        <f t="shared" ref="O9:V9" si="1">AA22</f>
        <v>0</v>
      </c>
      <c r="P9" s="389">
        <f t="shared" si="1"/>
        <v>0</v>
      </c>
      <c r="Q9" s="389">
        <f t="shared" si="1"/>
        <v>0</v>
      </c>
      <c r="R9" s="389">
        <f t="shared" si="1"/>
        <v>0</v>
      </c>
      <c r="S9" s="389">
        <f t="shared" si="1"/>
        <v>0</v>
      </c>
      <c r="T9" s="389">
        <f t="shared" si="1"/>
        <v>0</v>
      </c>
      <c r="U9" s="389">
        <f t="shared" si="1"/>
        <v>0</v>
      </c>
      <c r="V9" s="402">
        <f t="shared" si="1"/>
        <v>0</v>
      </c>
      <c r="Z9" s="433" t="str">
        <f>Z17</f>
        <v>Senegal</v>
      </c>
      <c r="AA9" s="426">
        <f>SUM(IF(AND($H$9&lt;&gt;"",$J$9&lt;&gt;"",$H$9&gt;$J$9),1,0)+IF(AND($H$11&lt;&gt;"",$J$11&lt;&gt;"",$J$11&gt;$H$11),1,0)+IF(AND($H$17&lt;&gt;"",$J$17&lt;&gt;"",$J$17&gt;$H$17),1,0))</f>
        <v>0</v>
      </c>
      <c r="AB9" s="426">
        <f>SUM(IF(AND($H$9&lt;&gt;"",$J$9&lt;&gt;"",$H$9=$J$9),1,0)+IF(AND($H$11&lt;&gt;"",$J$11&lt;&gt;"",$H$11=$J$11),1,0)+IF(AND($H$17&lt;&gt;"",$J$17&lt;&gt;"",$J$17=$H$17),1,0))</f>
        <v>0</v>
      </c>
      <c r="AC9" s="426">
        <f>SUM(IF(AND($H$9&lt;&gt;"",$J$9&lt;&gt;"",$H$9&lt;$J$9),1,0)+IF(AND($H$11&lt;&gt;"",$J$11&lt;&gt;"",$J$11&lt;$H$11),1,0)+IF(AND($H$17&lt;&gt;"",$J$17&lt;&gt;"",$J$17&lt;$H$17),1,0))</f>
        <v>0</v>
      </c>
      <c r="AD9" s="426">
        <f>SUM($H$9,$J$11,$J$17)</f>
        <v>0</v>
      </c>
      <c r="AE9" s="426">
        <f>SUM($J$9,$H$11,$H$17)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A3</v>
      </c>
      <c r="C10" s="409">
        <v>44890</v>
      </c>
      <c r="D10" s="411">
        <v>0.33333333333333331</v>
      </c>
      <c r="E10" s="449" t="s">
        <v>193</v>
      </c>
      <c r="F10" s="175" t="s">
        <v>7</v>
      </c>
      <c r="G10" s="413" t="str">
        <f>Z16</f>
        <v>Qatar</v>
      </c>
      <c r="H10" s="113">
        <f>VLOOKUP(B10,DB_PARTIDOS!$A$1:$I$65,5)</f>
        <v>1</v>
      </c>
      <c r="I10" s="413" t="str">
        <f>Z17</f>
        <v>Senegal</v>
      </c>
      <c r="J10" s="113">
        <f>VLOOKUP($B$10,DB_PARTIDOS!$A$1:$I$65,7)</f>
        <v>0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388"/>
      <c r="O10" s="389"/>
      <c r="P10" s="389"/>
      <c r="Q10" s="389"/>
      <c r="R10" s="389"/>
      <c r="S10" s="389"/>
      <c r="T10" s="389"/>
      <c r="U10" s="389"/>
      <c r="V10" s="402"/>
      <c r="Z10" s="434"/>
      <c r="AA10" s="426"/>
      <c r="AB10" s="426"/>
      <c r="AC10" s="426"/>
      <c r="AD10" s="426"/>
      <c r="AE10" s="426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9"/>
      <c r="D11" s="411"/>
      <c r="E11" s="449"/>
      <c r="F11" s="223" t="s">
        <v>8</v>
      </c>
      <c r="G11" s="413"/>
      <c r="H11" s="226" t="str">
        <f>IF(ISBLANK(VLOOKUP($B$6,DB_PARTIDOS!$A$1:$I$65,8)),"",VLOOKUP($B$6,DB_PARTIDOS!$A$1:$I$65,8))</f>
        <v/>
      </c>
      <c r="I11" s="413"/>
      <c r="J11" s="226" t="str">
        <f>IF(ISBLANK(VLOOKUP($B$6,DB_PARTIDOS!$A$1:$I$65,8)),"",VLOOKUP($B$6,DB_PARTIDOS!$A$1:$I$65,9))</f>
        <v/>
      </c>
      <c r="K11" s="386"/>
      <c r="L11" s="386"/>
      <c r="M11" s="417"/>
      <c r="N11" s="388" t="str">
        <f>Z23</f>
        <v>Países Bajos</v>
      </c>
      <c r="O11" s="389">
        <f t="shared" ref="O11:V11" si="2">AA23</f>
        <v>0</v>
      </c>
      <c r="P11" s="389">
        <f t="shared" si="2"/>
        <v>0</v>
      </c>
      <c r="Q11" s="389">
        <f t="shared" si="2"/>
        <v>0</v>
      </c>
      <c r="R11" s="389">
        <f t="shared" si="2"/>
        <v>0</v>
      </c>
      <c r="S11" s="389">
        <f t="shared" si="2"/>
        <v>0</v>
      </c>
      <c r="T11" s="389">
        <f t="shared" si="2"/>
        <v>0</v>
      </c>
      <c r="U11" s="389">
        <f t="shared" si="2"/>
        <v>0</v>
      </c>
      <c r="V11" s="402">
        <f t="shared" si="2"/>
        <v>0</v>
      </c>
      <c r="Z11" s="432" t="str">
        <f>Z18</f>
        <v>Países Bajos</v>
      </c>
      <c r="AA11" s="426">
        <f>SUM(IF(AND($H$9&lt;&gt;"",$J$9&lt;&gt;"",$J$9&gt;$H$9),1,0)+IF(AND($H$13&lt;&gt;"",$J$13&lt;&gt;"",$H$13&gt;$J$13),1,0)+IF(AND($H$15&lt;&gt;"",$J$15&lt;&gt;"",$H$15&gt;$J$15),1,0))</f>
        <v>0</v>
      </c>
      <c r="AB11" s="426">
        <f>SUM(IF(AND($H$9&lt;&gt;"",$J$9&lt;&gt;"",$H$9=$J$9),1,0)+IF(AND($H$13&lt;&gt;"",$J$13&lt;&gt;"",$H$13=$J$13),1,0)+IF(AND($H$15&lt;&gt;"",$J$15&lt;&gt;"",$J$15=$H$15),1,0))</f>
        <v>0</v>
      </c>
      <c r="AC11" s="426">
        <f>SUM(IF(AND($H$9&lt;&gt;"",$J$9&lt;&gt;"",$J$9&lt;$H$9),1,0)+IF(AND($H$13&lt;&gt;"",$J$13&lt;&gt;"",$H$13&lt;$J$13),1,0)+IF(AND($H$15&lt;&gt;"",$J$15&lt;&gt;"",$H$15&lt;$J$15),1,0))</f>
        <v>0</v>
      </c>
      <c r="AD11" s="426">
        <f>SUM($J$9,$H$13,$H$15)</f>
        <v>0</v>
      </c>
      <c r="AE11" s="426">
        <f>SUM($H$9,$J$13,$J$15)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A4</v>
      </c>
      <c r="C12" s="409">
        <v>44890</v>
      </c>
      <c r="D12" s="411">
        <v>0.45833333333333331</v>
      </c>
      <c r="E12" s="449" t="s">
        <v>194</v>
      </c>
      <c r="F12" s="175" t="s">
        <v>7</v>
      </c>
      <c r="G12" s="413" t="str">
        <f>Z18</f>
        <v>Países Bajos</v>
      </c>
      <c r="H12" s="113">
        <f>VLOOKUP(B12,DB_PARTIDOS!$A$1:$I$65,5)</f>
        <v>2</v>
      </c>
      <c r="I12" s="413" t="str">
        <f>Z19</f>
        <v>Ecuador</v>
      </c>
      <c r="J12" s="113">
        <f>VLOOKUP($B$12,DB_PARTIDOS!$A$1:$I$65,7)</f>
        <v>0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388"/>
      <c r="O12" s="389"/>
      <c r="P12" s="389"/>
      <c r="Q12" s="389"/>
      <c r="R12" s="389"/>
      <c r="S12" s="389"/>
      <c r="T12" s="389"/>
      <c r="U12" s="389"/>
      <c r="V12" s="402"/>
      <c r="Z12" s="432"/>
      <c r="AA12" s="426"/>
      <c r="AB12" s="426"/>
      <c r="AC12" s="426"/>
      <c r="AD12" s="426"/>
      <c r="AE12" s="426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9"/>
      <c r="D13" s="411"/>
      <c r="E13" s="449"/>
      <c r="F13" s="223" t="s">
        <v>8</v>
      </c>
      <c r="G13" s="413"/>
      <c r="H13" s="226" t="str">
        <f>IF(ISBLANK(VLOOKUP($B$6,DB_PARTIDOS!$A$1:$I$65,8)),"",VLOOKUP($B$6,DB_PARTIDOS!$A$1:$I$65,8))</f>
        <v/>
      </c>
      <c r="I13" s="413"/>
      <c r="J13" s="226" t="str">
        <f>IF(ISBLANK(VLOOKUP($B$6,DB_PARTIDOS!$A$1:$I$65,8)),"",VLOOKUP($B$6,DB_PARTIDOS!$A$1:$I$65,9))</f>
        <v/>
      </c>
      <c r="K13" s="386"/>
      <c r="L13" s="386"/>
      <c r="M13" s="417"/>
      <c r="N13" s="388" t="str">
        <f>Z24</f>
        <v>Ecuador</v>
      </c>
      <c r="O13" s="389">
        <f t="shared" ref="O13:V13" si="3">AA24</f>
        <v>0</v>
      </c>
      <c r="P13" s="389">
        <f t="shared" si="3"/>
        <v>0</v>
      </c>
      <c r="Q13" s="389">
        <f t="shared" si="3"/>
        <v>0</v>
      </c>
      <c r="R13" s="389">
        <f t="shared" si="3"/>
        <v>0</v>
      </c>
      <c r="S13" s="389">
        <f t="shared" si="3"/>
        <v>0</v>
      </c>
      <c r="T13" s="389">
        <f t="shared" si="3"/>
        <v>0</v>
      </c>
      <c r="U13" s="389">
        <f t="shared" si="3"/>
        <v>0</v>
      </c>
      <c r="V13" s="402">
        <f t="shared" si="3"/>
        <v>0</v>
      </c>
      <c r="Z13" s="432" t="str">
        <f>Z19</f>
        <v>Ecuador</v>
      </c>
      <c r="AA13" s="426">
        <f>SUM(IF(AND($H$7&lt;&gt;"",$J$7&lt;&gt;"",$J$7&gt;$H$7),1,0)+IF(AND($H$13&lt;&gt;"",$J$13&lt;&gt;"",$J$13&gt;$H$13),1,0)+IF(AND($H$17&lt;&gt;"",$J$17&lt;&gt;"",$H$17&gt;$J$17),1,0))</f>
        <v>0</v>
      </c>
      <c r="AB13" s="426">
        <f>SUM(IF(AND($H$7&lt;&gt;"",$J$7&lt;&gt;"",$H$7=$J$7),1,0)+IF(AND($H$13&lt;&gt;"",$J$13&lt;&gt;"",$H$13=$J$13),1,0)+IF(AND($H$17&lt;&gt;"",$J$17&lt;&gt;"",$H$17=$J$17),1,0))</f>
        <v>0</v>
      </c>
      <c r="AC13" s="426">
        <f>SUM(IF(AND($H$7&lt;&gt;"",$J$7&lt;&gt;"",$J$7&lt;$H$7),1,0)+IF(AND($H$13&lt;&gt;"",$J$13&lt;&gt;"",$J$13&lt;$H$13),1,0)+IF(AND($H$17&lt;&gt;"",$J$17&lt;&gt;"",$H$17&lt;$J$17),1,0))</f>
        <v>0</v>
      </c>
      <c r="AD13" s="426">
        <f>SUM($J$7,$J$13,$H$17)</f>
        <v>0</v>
      </c>
      <c r="AE13" s="426">
        <f>SUM($H$7,$H$13,$J$17)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A5</v>
      </c>
      <c r="C14" s="409">
        <v>44894</v>
      </c>
      <c r="D14" s="411">
        <v>0.41666666666666669</v>
      </c>
      <c r="E14" s="389" t="s">
        <v>192</v>
      </c>
      <c r="F14" s="175" t="s">
        <v>7</v>
      </c>
      <c r="G14" s="413" t="str">
        <f>Z18</f>
        <v>Países Bajos</v>
      </c>
      <c r="H14" s="113">
        <f>VLOOKUP(B14,DB_PARTIDOS!$A$1:$I$65,5)</f>
        <v>2</v>
      </c>
      <c r="I14" s="413" t="str">
        <f>Z16</f>
        <v>Qatar</v>
      </c>
      <c r="J14" s="113">
        <f>VLOOKUP($B$14,DB_PARTIDOS!$A$1:$I$65,7)</f>
        <v>0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23"/>
      <c r="O14" s="424"/>
      <c r="P14" s="424"/>
      <c r="Q14" s="424"/>
      <c r="R14" s="424"/>
      <c r="S14" s="424"/>
      <c r="T14" s="424"/>
      <c r="U14" s="424"/>
      <c r="V14" s="425"/>
      <c r="Z14" s="433"/>
      <c r="AA14" s="435"/>
      <c r="AB14" s="435"/>
      <c r="AC14" s="435"/>
      <c r="AD14" s="435"/>
      <c r="AE14" s="435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9"/>
      <c r="D15" s="411"/>
      <c r="E15" s="389"/>
      <c r="F15" s="223" t="s">
        <v>8</v>
      </c>
      <c r="G15" s="413"/>
      <c r="H15" s="226" t="str">
        <f>IF(ISBLANK(VLOOKUP($B$6,DB_PARTIDOS!$A$1:$I$65,8)),"",VLOOKUP($B$6,DB_PARTIDOS!$A$1:$I$65,8))</f>
        <v/>
      </c>
      <c r="I15" s="413"/>
      <c r="J15" s="226" t="str">
        <f>IF(ISBLANK(VLOOKUP($B$6,DB_PARTIDOS!$A$1:$I$65,8)),"",VLOOKUP($B$6,DB_PARTIDOS!$A$1:$I$65,9))</f>
        <v/>
      </c>
      <c r="K15" s="386"/>
      <c r="L15" s="386"/>
      <c r="M15" s="417"/>
      <c r="N15" s="201" t="s">
        <v>26</v>
      </c>
      <c r="O15" s="421" t="s">
        <v>22</v>
      </c>
      <c r="P15" s="421"/>
      <c r="Q15" s="421"/>
      <c r="R15" s="421"/>
      <c r="S15" s="421" t="s">
        <v>23</v>
      </c>
      <c r="T15" s="421"/>
      <c r="U15" s="421"/>
      <c r="V15" s="131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A6</v>
      </c>
      <c r="C16" s="409">
        <v>44894</v>
      </c>
      <c r="D16" s="411">
        <v>0.41666666666666669</v>
      </c>
      <c r="E16" s="389" t="s">
        <v>194</v>
      </c>
      <c r="F16" s="175" t="s">
        <v>7</v>
      </c>
      <c r="G16" s="413" t="str">
        <f>Z19</f>
        <v>Ecuador</v>
      </c>
      <c r="H16" s="113">
        <f>VLOOKUP(B16,DB_PARTIDOS!$A$1:$I$65,5)</f>
        <v>1</v>
      </c>
      <c r="I16" s="413" t="str">
        <f>Z17</f>
        <v>Senegal</v>
      </c>
      <c r="J16" s="113">
        <f>VLOOKUP($B$16,DB_PARTIDOS!$A$1:$I$65,7)</f>
        <v>1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Países Bajos</v>
      </c>
      <c r="P16" s="384"/>
      <c r="Q16" s="384"/>
      <c r="R16" s="384"/>
      <c r="S16" s="419" t="str">
        <f>N7</f>
        <v>Qatar</v>
      </c>
      <c r="T16" s="419"/>
      <c r="U16" s="419"/>
      <c r="V16" s="218">
        <f>IF(OR(O16=S16,O16=S17),AC28,0)+IF(O16=S16,2,0)</f>
        <v>0</v>
      </c>
      <c r="X16" s="38" t="str">
        <f>CONCATENATE(MID($C$2,7,1),N16)</f>
        <v>A1</v>
      </c>
      <c r="Z16" s="61" t="s">
        <v>183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6"/>
      <c r="D17" s="447"/>
      <c r="E17" s="448"/>
      <c r="F17" s="224" t="s">
        <v>8</v>
      </c>
      <c r="G17" s="438"/>
      <c r="H17" s="225" t="str">
        <f>IF(ISBLANK(VLOOKUP($B$6,DB_PARTIDOS!$A$1:$I$65,8)),"",VLOOKUP($B$6,DB_PARTIDOS!$A$1:$I$65,8))</f>
        <v/>
      </c>
      <c r="I17" s="438"/>
      <c r="J17" s="225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Qatar</v>
      </c>
      <c r="P17" s="385"/>
      <c r="Q17" s="385"/>
      <c r="R17" s="385"/>
      <c r="S17" s="420" t="str">
        <f>N9</f>
        <v>Senegal</v>
      </c>
      <c r="T17" s="420"/>
      <c r="U17" s="420"/>
      <c r="V17" s="219">
        <f>IF(OR(O17=S17,O17=S16),AC28,0)+IF(O17=S17,2,0)</f>
        <v>2</v>
      </c>
      <c r="X17" s="38" t="str">
        <f>CONCATENATE(MID($C$2,7,1),N17)</f>
        <v>A2</v>
      </c>
      <c r="Z17" s="68" t="s">
        <v>155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185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74" t="s">
        <v>184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375" t="s">
        <v>27</v>
      </c>
      <c r="K21" s="376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Qatar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3" t="s">
        <v>57</v>
      </c>
      <c r="D22" s="164" t="s">
        <v>26</v>
      </c>
      <c r="E22" s="28"/>
      <c r="F22" s="28"/>
      <c r="G22" s="28"/>
      <c r="H22" s="28"/>
      <c r="I22" s="28"/>
      <c r="J22" s="377"/>
      <c r="K22" s="378"/>
      <c r="L22" s="382"/>
      <c r="M22" s="1"/>
      <c r="N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Senegal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Qatar</v>
      </c>
      <c r="D23" s="109">
        <v>1</v>
      </c>
      <c r="E23" s="28"/>
      <c r="F23" s="28"/>
      <c r="G23" s="28"/>
      <c r="H23" s="28"/>
      <c r="I23" s="28"/>
      <c r="J23" s="379"/>
      <c r="K23" s="380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Países Bajos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Senegal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Ecuador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Países Bajos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Ecuador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sortState ref="N6:V9">
    <sortCondition descending="1" ref="U6:U9"/>
  </sortState>
  <mergeCells count="135">
    <mergeCell ref="G14:G15"/>
    <mergeCell ref="G16:G17"/>
    <mergeCell ref="I6:I7"/>
    <mergeCell ref="I8:I9"/>
    <mergeCell ref="I10:I11"/>
    <mergeCell ref="I12:I13"/>
    <mergeCell ref="I14:I15"/>
    <mergeCell ref="I16:I17"/>
    <mergeCell ref="C19:D21"/>
    <mergeCell ref="C16:C17"/>
    <mergeCell ref="D16:D17"/>
    <mergeCell ref="E16:E17"/>
    <mergeCell ref="C12:C13"/>
    <mergeCell ref="D12:D13"/>
    <mergeCell ref="E12:E13"/>
    <mergeCell ref="C14:C15"/>
    <mergeCell ref="D14:D15"/>
    <mergeCell ref="E14:E15"/>
    <mergeCell ref="C10:C11"/>
    <mergeCell ref="D10:D11"/>
    <mergeCell ref="E10:E11"/>
    <mergeCell ref="D8:D9"/>
    <mergeCell ref="E8:E9"/>
    <mergeCell ref="G6:G7"/>
    <mergeCell ref="AA26:AC26"/>
    <mergeCell ref="Z7:Z8"/>
    <mergeCell ref="Z9:Z10"/>
    <mergeCell ref="Z11:Z12"/>
    <mergeCell ref="Z13:Z14"/>
    <mergeCell ref="AF11:AF12"/>
    <mergeCell ref="AG11:AG12"/>
    <mergeCell ref="AH11:AH12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A11:AA12"/>
    <mergeCell ref="AB11:AB12"/>
    <mergeCell ref="AC11:AC12"/>
    <mergeCell ref="AD11:AD12"/>
    <mergeCell ref="AE11:AE12"/>
    <mergeCell ref="AF7:AF8"/>
    <mergeCell ref="AG7:AG8"/>
    <mergeCell ref="AH7:AH8"/>
    <mergeCell ref="L6:L7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A7:AA8"/>
    <mergeCell ref="AB7:AB8"/>
    <mergeCell ref="AC7:AC8"/>
    <mergeCell ref="AD7:AD8"/>
    <mergeCell ref="AE7:AE8"/>
    <mergeCell ref="V11:V12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G10:G11"/>
    <mergeCell ref="G12:G13"/>
    <mergeCell ref="S16:U16"/>
    <mergeCell ref="S17:U17"/>
    <mergeCell ref="S15:U15"/>
    <mergeCell ref="O15:R15"/>
    <mergeCell ref="S11:S12"/>
    <mergeCell ref="T11:T12"/>
    <mergeCell ref="U11:U12"/>
    <mergeCell ref="N9:N10"/>
    <mergeCell ref="R9:R10"/>
    <mergeCell ref="O9:O10"/>
    <mergeCell ref="P9:P10"/>
    <mergeCell ref="Q9:Q10"/>
    <mergeCell ref="S9:S10"/>
    <mergeCell ref="T9:T10"/>
    <mergeCell ref="U9:U10"/>
    <mergeCell ref="M8:M9"/>
    <mergeCell ref="M10:M11"/>
    <mergeCell ref="M12:M13"/>
    <mergeCell ref="M14:M15"/>
    <mergeCell ref="M16:M17"/>
    <mergeCell ref="K8:K9"/>
    <mergeCell ref="L8:L9"/>
    <mergeCell ref="C2:V3"/>
    <mergeCell ref="N4:V5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G5:J5"/>
    <mergeCell ref="C4:J4"/>
    <mergeCell ref="C6:C7"/>
    <mergeCell ref="D6:D7"/>
    <mergeCell ref="E6:E7"/>
    <mergeCell ref="C8:C9"/>
    <mergeCell ref="G8:G9"/>
    <mergeCell ref="V9:V10"/>
    <mergeCell ref="K4:M4"/>
    <mergeCell ref="M6:M7"/>
    <mergeCell ref="K10:K11"/>
    <mergeCell ref="L10:L11"/>
    <mergeCell ref="K6:K7"/>
    <mergeCell ref="J21:K23"/>
    <mergeCell ref="L21:L23"/>
    <mergeCell ref="O16:R16"/>
    <mergeCell ref="O17:R17"/>
    <mergeCell ref="K14:K15"/>
    <mergeCell ref="L14:L15"/>
    <mergeCell ref="K16:K17"/>
    <mergeCell ref="L16:L17"/>
    <mergeCell ref="N11:N12"/>
    <mergeCell ref="O11:O12"/>
    <mergeCell ref="P11:P12"/>
    <mergeCell ref="Q11:Q12"/>
    <mergeCell ref="R11:R12"/>
    <mergeCell ref="K12:K13"/>
    <mergeCell ref="L12:L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E30" sqref="E30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42578125" style="112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7" width="11.42578125" style="38" customWidth="1"/>
    <col min="48" max="16384" width="11.5703125" style="38"/>
  </cols>
  <sheetData>
    <row r="1" spans="2:46" ht="4.5" customHeight="1" thickBot="1" x14ac:dyDescent="0.3"/>
    <row r="2" spans="2:46" ht="15" customHeight="1" x14ac:dyDescent="0.25">
      <c r="C2" s="451" t="s">
        <v>80</v>
      </c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3"/>
    </row>
    <row r="3" spans="2:46" ht="15.75" customHeight="1" thickBot="1" x14ac:dyDescent="0.3">
      <c r="C3" s="454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6"/>
    </row>
    <row r="4" spans="2:46" x14ac:dyDescent="0.25">
      <c r="C4" s="457" t="s">
        <v>28</v>
      </c>
      <c r="D4" s="458"/>
      <c r="E4" s="458"/>
      <c r="F4" s="458"/>
      <c r="G4" s="458"/>
      <c r="H4" s="458"/>
      <c r="I4" s="458"/>
      <c r="J4" s="459"/>
      <c r="K4" s="460" t="s">
        <v>24</v>
      </c>
      <c r="L4" s="461"/>
      <c r="M4" s="462"/>
      <c r="N4" s="463" t="s">
        <v>21</v>
      </c>
      <c r="O4" s="461"/>
      <c r="P4" s="461"/>
      <c r="Q4" s="461"/>
      <c r="R4" s="461"/>
      <c r="S4" s="461"/>
      <c r="T4" s="461"/>
      <c r="U4" s="461"/>
      <c r="V4" s="464"/>
    </row>
    <row r="5" spans="2:46" ht="15.75" thickBot="1" x14ac:dyDescent="0.3">
      <c r="C5" s="183" t="s">
        <v>0</v>
      </c>
      <c r="D5" s="310" t="s">
        <v>1</v>
      </c>
      <c r="E5" s="310" t="s">
        <v>196</v>
      </c>
      <c r="F5" s="310" t="s">
        <v>2</v>
      </c>
      <c r="G5" s="468" t="s">
        <v>3</v>
      </c>
      <c r="H5" s="468"/>
      <c r="I5" s="468"/>
      <c r="J5" s="469"/>
      <c r="K5" s="317" t="s">
        <v>9</v>
      </c>
      <c r="L5" s="198" t="s">
        <v>10</v>
      </c>
      <c r="M5" s="199" t="s">
        <v>11</v>
      </c>
      <c r="N5" s="465"/>
      <c r="O5" s="466"/>
      <c r="P5" s="466"/>
      <c r="Q5" s="466"/>
      <c r="R5" s="466"/>
      <c r="S5" s="466"/>
      <c r="T5" s="466"/>
      <c r="U5" s="466"/>
      <c r="V5" s="467"/>
    </row>
    <row r="6" spans="2:46" ht="15.75" thickBot="1" x14ac:dyDescent="0.3">
      <c r="B6" s="38" t="str">
        <f>CONCATENATE(MID($C$2,7,1),1)</f>
        <v>B1</v>
      </c>
      <c r="C6" s="470">
        <v>44886</v>
      </c>
      <c r="D6" s="472">
        <v>0.33333333333333331</v>
      </c>
      <c r="E6" s="474" t="s">
        <v>194</v>
      </c>
      <c r="F6" s="174" t="s">
        <v>7</v>
      </c>
      <c r="G6" s="476" t="str">
        <f>Z16</f>
        <v>Inglaterra</v>
      </c>
      <c r="H6" s="173">
        <f>VLOOKUP($B$6,DB_PARTIDOS!$A$1:$I$65,5)</f>
        <v>2</v>
      </c>
      <c r="I6" s="476" t="str">
        <f>Z19</f>
        <v>Irán</v>
      </c>
      <c r="J6" s="173">
        <f>VLOOKUP($B$6,DB_PARTIDOS!$A$1:$I$65,7)</f>
        <v>0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14" t="s">
        <v>12</v>
      </c>
      <c r="O6" s="129" t="s">
        <v>13</v>
      </c>
      <c r="P6" s="129" t="s">
        <v>14</v>
      </c>
      <c r="Q6" s="129" t="s">
        <v>15</v>
      </c>
      <c r="R6" s="129" t="s">
        <v>16</v>
      </c>
      <c r="S6" s="129" t="s">
        <v>17</v>
      </c>
      <c r="T6" s="129" t="s">
        <v>18</v>
      </c>
      <c r="U6" s="129" t="s">
        <v>19</v>
      </c>
      <c r="V6" s="13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71"/>
      <c r="D7" s="473"/>
      <c r="E7" s="475"/>
      <c r="F7" s="223" t="s">
        <v>8</v>
      </c>
      <c r="G7" s="477"/>
      <c r="H7" s="226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478" t="str">
        <f>Z21</f>
        <v>Inglaterra</v>
      </c>
      <c r="O7" s="450">
        <f t="shared" ref="O7:U7" si="0">AA21</f>
        <v>0</v>
      </c>
      <c r="P7" s="450">
        <f t="shared" si="0"/>
        <v>0</v>
      </c>
      <c r="Q7" s="450">
        <f t="shared" si="0"/>
        <v>0</v>
      </c>
      <c r="R7" s="450">
        <f t="shared" si="0"/>
        <v>0</v>
      </c>
      <c r="S7" s="450">
        <f t="shared" si="0"/>
        <v>0</v>
      </c>
      <c r="T7" s="450">
        <f t="shared" si="0"/>
        <v>0</v>
      </c>
      <c r="U7" s="450">
        <f t="shared" si="0"/>
        <v>0</v>
      </c>
      <c r="V7" s="481">
        <f>AH21</f>
        <v>0</v>
      </c>
      <c r="Z7" s="431" t="str">
        <f>Z16</f>
        <v>Inglaterra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B2</v>
      </c>
      <c r="C8" s="471">
        <v>44886</v>
      </c>
      <c r="D8" s="411">
        <v>0.58333333333333337</v>
      </c>
      <c r="E8" s="449" t="s">
        <v>195</v>
      </c>
      <c r="F8" s="175" t="s">
        <v>7</v>
      </c>
      <c r="G8" s="477" t="str">
        <f>Z18</f>
        <v>USA</v>
      </c>
      <c r="H8" s="114">
        <f>VLOOKUP(B8,DB_PARTIDOS!$A$1:$I$65,5)</f>
        <v>1</v>
      </c>
      <c r="I8" s="477" t="str">
        <f>Z17</f>
        <v>Gales</v>
      </c>
      <c r="J8" s="114">
        <f>VLOOKUP($B$8,DB_PARTIDOS!$A$1:$I$65,7)</f>
        <v>1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478"/>
      <c r="O8" s="450"/>
      <c r="P8" s="450"/>
      <c r="Q8" s="450"/>
      <c r="R8" s="450"/>
      <c r="S8" s="450"/>
      <c r="T8" s="450"/>
      <c r="U8" s="450"/>
      <c r="V8" s="481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71"/>
      <c r="D9" s="411"/>
      <c r="E9" s="449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478" t="str">
        <f>Z22</f>
        <v>Gales</v>
      </c>
      <c r="O9" s="450">
        <f t="shared" ref="O9:U9" si="1">AA22</f>
        <v>0</v>
      </c>
      <c r="P9" s="450">
        <f t="shared" si="1"/>
        <v>0</v>
      </c>
      <c r="Q9" s="450">
        <f t="shared" si="1"/>
        <v>0</v>
      </c>
      <c r="R9" s="450">
        <f t="shared" si="1"/>
        <v>0</v>
      </c>
      <c r="S9" s="450">
        <f t="shared" si="1"/>
        <v>0</v>
      </c>
      <c r="T9" s="450">
        <f t="shared" si="1"/>
        <v>0</v>
      </c>
      <c r="U9" s="450">
        <f t="shared" si="1"/>
        <v>0</v>
      </c>
      <c r="V9" s="481">
        <f>AH22</f>
        <v>0</v>
      </c>
      <c r="Z9" s="432" t="str">
        <f>Z17</f>
        <v>Gales</v>
      </c>
      <c r="AA9" s="426">
        <f>SUM(IF(AND($H$9&lt;&gt;"",$J$9&lt;&gt;"",$J$9&gt;$H$9),1,0)+IF(AND($H$11&lt;&gt;"",$J$11&lt;&gt;"",$H$11&gt;$J$11),1,0)+IF(AND($H$17&lt;&gt;"",$J$17&lt;&gt;"",$J$17&gt;$H$17),1,0))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SUM(IF(AND($H$9&lt;&gt;"",$J$9&lt;&gt;"",$J$9&lt;$H$9),1,0)+IF(AND($H$11&lt;&gt;"",$J$11&lt;&gt;"",$H$11&lt;$J$11),1,0)+IF(AND($H$17&lt;&gt;"",$J$17&lt;&gt;"",$J$17&lt;H$15),1,0))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.75" customHeight="1" x14ac:dyDescent="0.25">
      <c r="B10" s="38" t="str">
        <f>CONCATENATE(MID($C$2,7,1),3)</f>
        <v>B3</v>
      </c>
      <c r="C10" s="471">
        <v>44890</v>
      </c>
      <c r="D10" s="473">
        <v>0.20833333333333334</v>
      </c>
      <c r="E10" s="449" t="s">
        <v>195</v>
      </c>
      <c r="F10" s="175" t="s">
        <v>7</v>
      </c>
      <c r="G10" s="477" t="str">
        <f>Z17</f>
        <v>Gales</v>
      </c>
      <c r="H10" s="114">
        <f>VLOOKUP(B10,DB_PARTIDOS!$A$1:$I$65,5)</f>
        <v>1</v>
      </c>
      <c r="I10" s="477" t="str">
        <f>Z19</f>
        <v>Irán</v>
      </c>
      <c r="J10" s="114">
        <f>VLOOKUP($B$10,DB_PARTIDOS!$A$1:$I$65,7)</f>
        <v>0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478"/>
      <c r="O10" s="450"/>
      <c r="P10" s="450"/>
      <c r="Q10" s="450"/>
      <c r="R10" s="450"/>
      <c r="S10" s="450"/>
      <c r="T10" s="450"/>
      <c r="U10" s="450"/>
      <c r="V10" s="481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71"/>
      <c r="D11" s="473"/>
      <c r="E11" s="449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478" t="str">
        <f>Z23</f>
        <v>USA</v>
      </c>
      <c r="O11" s="450">
        <f t="shared" ref="O11:V11" si="2">AA23</f>
        <v>0</v>
      </c>
      <c r="P11" s="450">
        <f t="shared" si="2"/>
        <v>0</v>
      </c>
      <c r="Q11" s="450">
        <f t="shared" si="2"/>
        <v>0</v>
      </c>
      <c r="R11" s="450">
        <f t="shared" si="2"/>
        <v>0</v>
      </c>
      <c r="S11" s="450">
        <f t="shared" si="2"/>
        <v>0</v>
      </c>
      <c r="T11" s="450">
        <f t="shared" si="2"/>
        <v>0</v>
      </c>
      <c r="U11" s="450">
        <f t="shared" si="2"/>
        <v>0</v>
      </c>
      <c r="V11" s="481">
        <f t="shared" si="2"/>
        <v>0</v>
      </c>
      <c r="Z11" s="432" t="str">
        <f>Z18</f>
        <v>USA</v>
      </c>
      <c r="AA11" s="426">
        <f>SUM(IF(AND($H$9&lt;&gt;"",$J$9&lt;&gt;"",$J$9&lt;$H$9),1,0)+IF(AND($H$13&lt;&gt;"",$J$13&lt;&gt;"",$H$13&lt;$J$13),1,0)+IF(AND($H$15&lt;&gt;"",$J$15&lt;&gt;"",$H$15&lt;$J$15),1,0))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B4</v>
      </c>
      <c r="C12" s="471">
        <v>44890</v>
      </c>
      <c r="D12" s="411">
        <v>0.58333333333333337</v>
      </c>
      <c r="E12" s="475" t="s">
        <v>192</v>
      </c>
      <c r="F12" s="175" t="s">
        <v>7</v>
      </c>
      <c r="G12" s="477" t="str">
        <f>Z16</f>
        <v>Inglaterra</v>
      </c>
      <c r="H12" s="114">
        <f>VLOOKUP(B12,DB_PARTIDOS!$A$1:$I$65,5)</f>
        <v>2</v>
      </c>
      <c r="I12" s="477" t="str">
        <f>Z18</f>
        <v>USA</v>
      </c>
      <c r="J12" s="114">
        <f>VLOOKUP($B$12,DB_PARTIDOS!$A$1:$I$65,7)</f>
        <v>1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478"/>
      <c r="O12" s="450"/>
      <c r="P12" s="450"/>
      <c r="Q12" s="450"/>
      <c r="R12" s="450"/>
      <c r="S12" s="450"/>
      <c r="T12" s="450"/>
      <c r="U12" s="450"/>
      <c r="V12" s="481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71"/>
      <c r="D13" s="411"/>
      <c r="E13" s="475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478" t="str">
        <f>Z24</f>
        <v>Irán</v>
      </c>
      <c r="O13" s="450">
        <f t="shared" ref="O13:V13" si="3">AA24</f>
        <v>0</v>
      </c>
      <c r="P13" s="450">
        <f t="shared" si="3"/>
        <v>0</v>
      </c>
      <c r="Q13" s="450">
        <f t="shared" si="3"/>
        <v>0</v>
      </c>
      <c r="R13" s="450">
        <f t="shared" si="3"/>
        <v>0</v>
      </c>
      <c r="S13" s="450">
        <f t="shared" si="3"/>
        <v>0</v>
      </c>
      <c r="T13" s="450">
        <f t="shared" si="3"/>
        <v>0</v>
      </c>
      <c r="U13" s="450">
        <f t="shared" si="3"/>
        <v>0</v>
      </c>
      <c r="V13" s="481">
        <f t="shared" si="3"/>
        <v>0</v>
      </c>
      <c r="Z13" s="432" t="str">
        <f>Z19</f>
        <v>Irán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B5</v>
      </c>
      <c r="C14" s="471">
        <v>44894</v>
      </c>
      <c r="D14" s="411">
        <v>0.58333333333333337</v>
      </c>
      <c r="E14" s="475" t="s">
        <v>193</v>
      </c>
      <c r="F14" s="175" t="s">
        <v>7</v>
      </c>
      <c r="G14" s="477" t="str">
        <f>Z19</f>
        <v>Irán</v>
      </c>
      <c r="H14" s="114">
        <f>VLOOKUP(B14,DB_PARTIDOS!$A$1:$I$65,5)</f>
        <v>1</v>
      </c>
      <c r="I14" s="477" t="str">
        <f>Z18</f>
        <v>USA</v>
      </c>
      <c r="J14" s="114">
        <f>VLOOKUP($B$14,DB_PARTIDOS!$A$1:$I$65,7)</f>
        <v>2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86"/>
      <c r="O14" s="482"/>
      <c r="P14" s="482"/>
      <c r="Q14" s="482"/>
      <c r="R14" s="482"/>
      <c r="S14" s="482"/>
      <c r="T14" s="482"/>
      <c r="U14" s="482"/>
      <c r="V14" s="485"/>
      <c r="Z14" s="433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71"/>
      <c r="D15" s="411"/>
      <c r="E15" s="475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15" t="s">
        <v>26</v>
      </c>
      <c r="O15" s="483" t="s">
        <v>22</v>
      </c>
      <c r="P15" s="483"/>
      <c r="Q15" s="483"/>
      <c r="R15" s="483"/>
      <c r="S15" s="483" t="s">
        <v>23</v>
      </c>
      <c r="T15" s="483"/>
      <c r="U15" s="483"/>
      <c r="V15" s="138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ht="15" customHeight="1" x14ac:dyDescent="0.25">
      <c r="B16" s="38" t="str">
        <f>CONCATENATE(MID($C$2,7,1),6)</f>
        <v>B6</v>
      </c>
      <c r="C16" s="471">
        <v>44894</v>
      </c>
      <c r="D16" s="411">
        <v>0.58333333333333337</v>
      </c>
      <c r="E16" s="449" t="s">
        <v>195</v>
      </c>
      <c r="F16" s="175" t="s">
        <v>7</v>
      </c>
      <c r="G16" s="477" t="str">
        <f>Z17</f>
        <v>Gales</v>
      </c>
      <c r="H16" s="114">
        <f>VLOOKUP(B16,DB_PARTIDOS!$A$1:$I$65,5)</f>
        <v>1</v>
      </c>
      <c r="I16" s="477" t="str">
        <f>Z16</f>
        <v>Inglaterra</v>
      </c>
      <c r="J16" s="114">
        <f>VLOOKUP($B$16,DB_PARTIDOS!$A$1:$I$65,7)</f>
        <v>2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Inglaterra</v>
      </c>
      <c r="P16" s="384"/>
      <c r="Q16" s="384"/>
      <c r="R16" s="384"/>
      <c r="S16" s="419" t="str">
        <f>N7</f>
        <v>Inglaterra</v>
      </c>
      <c r="T16" s="419"/>
      <c r="U16" s="419"/>
      <c r="V16" s="218">
        <f>IF(OR(O16=S16,O16=S17),AC28,0)+IF(O16=S16,2,0)</f>
        <v>4</v>
      </c>
      <c r="X16" s="38" t="str">
        <f>CONCATENATE(MID($C$2,7,1),N16)</f>
        <v>B1</v>
      </c>
      <c r="Z16" s="61" t="s">
        <v>106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93"/>
      <c r="D17" s="447"/>
      <c r="E17" s="494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Gales</v>
      </c>
      <c r="P17" s="385"/>
      <c r="Q17" s="385"/>
      <c r="R17" s="385"/>
      <c r="S17" s="420" t="str">
        <f>N9</f>
        <v>Gales</v>
      </c>
      <c r="T17" s="420"/>
      <c r="U17" s="420"/>
      <c r="V17" s="219">
        <f>IF(OR(O17=S17,O17=S16),AC28,0)+IF(O17=S17,2,0)</f>
        <v>4</v>
      </c>
      <c r="X17" s="38" t="str">
        <f>CONCATENATE(MID($C$2,7,1),N17)</f>
        <v>B2</v>
      </c>
      <c r="Z17" s="68" t="s">
        <v>187</v>
      </c>
      <c r="AA17" s="69">
        <f t="shared" ref="AA17:AH17" si="5">AA9</f>
        <v>0</v>
      </c>
      <c r="AB17" s="69">
        <f t="shared" si="5"/>
        <v>0</v>
      </c>
      <c r="AC17" s="69">
        <f t="shared" si="5"/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11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186</v>
      </c>
      <c r="AA18" s="69">
        <f t="shared" ref="AA18:AH18" si="6">AA11</f>
        <v>0</v>
      </c>
      <c r="AB18" s="69">
        <f t="shared" si="6"/>
        <v>0</v>
      </c>
      <c r="AC18" s="69">
        <f t="shared" si="6"/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11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148</v>
      </c>
      <c r="AA19" s="75">
        <f t="shared" ref="AA19:AH19" si="7">AA13</f>
        <v>0</v>
      </c>
      <c r="AB19" s="75">
        <f t="shared" si="7"/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110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110"/>
      <c r="F21" s="28"/>
      <c r="G21" s="28"/>
      <c r="H21" s="28"/>
      <c r="I21" s="28"/>
      <c r="J21" s="487" t="s">
        <v>91</v>
      </c>
      <c r="K21" s="488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Inglaterra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6" t="s">
        <v>57</v>
      </c>
      <c r="D22" s="171" t="s">
        <v>26</v>
      </c>
      <c r="E22" s="110"/>
      <c r="F22" s="28"/>
      <c r="G22" s="28"/>
      <c r="H22" s="28"/>
      <c r="I22" s="28"/>
      <c r="J22" s="489"/>
      <c r="K22" s="490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Gales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Inglaterra</v>
      </c>
      <c r="D23" s="109">
        <v>1</v>
      </c>
      <c r="E23" s="110"/>
      <c r="F23" s="28"/>
      <c r="G23" s="28"/>
      <c r="H23" s="28"/>
      <c r="I23" s="28"/>
      <c r="J23" s="491"/>
      <c r="K23" s="492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USA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Gales</v>
      </c>
      <c r="D24" s="84">
        <v>2</v>
      </c>
      <c r="E24" s="11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Irán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USA</v>
      </c>
      <c r="D25" s="84">
        <v>3</v>
      </c>
      <c r="E25" s="11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Irán</v>
      </c>
      <c r="D26" s="87">
        <v>4</v>
      </c>
      <c r="E26" s="11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11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C28" s="28"/>
      <c r="D28" s="28"/>
      <c r="E28" s="11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2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4" style="38" bestFit="1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496" t="s">
        <v>81</v>
      </c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8"/>
    </row>
    <row r="3" spans="2:46" ht="15.75" customHeight="1" thickBot="1" x14ac:dyDescent="0.3">
      <c r="C3" s="499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  <c r="R3" s="500"/>
      <c r="S3" s="500"/>
      <c r="T3" s="500"/>
      <c r="U3" s="500"/>
      <c r="V3" s="501"/>
    </row>
    <row r="4" spans="2:46" x14ac:dyDescent="0.25">
      <c r="C4" s="502" t="s">
        <v>28</v>
      </c>
      <c r="D4" s="503"/>
      <c r="E4" s="503"/>
      <c r="F4" s="503"/>
      <c r="G4" s="503"/>
      <c r="H4" s="503"/>
      <c r="I4" s="503"/>
      <c r="J4" s="504"/>
      <c r="K4" s="505" t="s">
        <v>24</v>
      </c>
      <c r="L4" s="506"/>
      <c r="M4" s="507"/>
      <c r="N4" s="508" t="s">
        <v>21</v>
      </c>
      <c r="O4" s="506"/>
      <c r="P4" s="506"/>
      <c r="Q4" s="506"/>
      <c r="R4" s="506"/>
      <c r="S4" s="506"/>
      <c r="T4" s="506"/>
      <c r="U4" s="506"/>
      <c r="V4" s="509"/>
    </row>
    <row r="5" spans="2:46" ht="15.75" thickBot="1" x14ac:dyDescent="0.3">
      <c r="C5" s="182" t="s">
        <v>0</v>
      </c>
      <c r="D5" s="311" t="s">
        <v>1</v>
      </c>
      <c r="E5" s="311" t="s">
        <v>196</v>
      </c>
      <c r="F5" s="311" t="s">
        <v>2</v>
      </c>
      <c r="G5" s="513" t="s">
        <v>3</v>
      </c>
      <c r="H5" s="513"/>
      <c r="I5" s="513"/>
      <c r="J5" s="514"/>
      <c r="K5" s="323" t="s">
        <v>9</v>
      </c>
      <c r="L5" s="196" t="s">
        <v>10</v>
      </c>
      <c r="M5" s="197" t="s">
        <v>11</v>
      </c>
      <c r="N5" s="510"/>
      <c r="O5" s="511"/>
      <c r="P5" s="511"/>
      <c r="Q5" s="511"/>
      <c r="R5" s="511"/>
      <c r="S5" s="511"/>
      <c r="T5" s="511"/>
      <c r="U5" s="511"/>
      <c r="V5" s="512"/>
    </row>
    <row r="6" spans="2:46" ht="15.75" customHeight="1" thickBot="1" x14ac:dyDescent="0.3">
      <c r="B6" s="38" t="str">
        <f>CONCATENATE(MID($C$2,7,1),1)</f>
        <v>C1</v>
      </c>
      <c r="C6" s="515">
        <v>44887</v>
      </c>
      <c r="D6" s="517">
        <v>0.20833333333333334</v>
      </c>
      <c r="E6" s="474" t="s">
        <v>198</v>
      </c>
      <c r="F6" s="174" t="s">
        <v>7</v>
      </c>
      <c r="G6" s="476" t="str">
        <f>Z16</f>
        <v>Argentina</v>
      </c>
      <c r="H6" s="173">
        <f>VLOOKUP($B$6,DB_PARTIDOS!$A$1:$I$65,5)</f>
        <v>4</v>
      </c>
      <c r="I6" s="476" t="str">
        <f>Z19</f>
        <v>Arabia Saudita</v>
      </c>
      <c r="J6" s="173">
        <f>VLOOKUP($B$6,DB_PARTIDOS!$A$1:$I$65,7)</f>
        <v>0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12" t="s">
        <v>12</v>
      </c>
      <c r="O6" s="127" t="s">
        <v>13</v>
      </c>
      <c r="P6" s="127" t="s">
        <v>14</v>
      </c>
      <c r="Q6" s="127" t="s">
        <v>15</v>
      </c>
      <c r="R6" s="127" t="s">
        <v>16</v>
      </c>
      <c r="S6" s="127" t="s">
        <v>17</v>
      </c>
      <c r="T6" s="127" t="s">
        <v>18</v>
      </c>
      <c r="U6" s="127" t="s">
        <v>19</v>
      </c>
      <c r="V6" s="12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516"/>
      <c r="D7" s="518"/>
      <c r="E7" s="475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388" t="str">
        <f>Z21</f>
        <v>Argentina</v>
      </c>
      <c r="O7" s="389">
        <f t="shared" ref="O7:U7" si="0">AA21</f>
        <v>0</v>
      </c>
      <c r="P7" s="389">
        <f t="shared" si="0"/>
        <v>0</v>
      </c>
      <c r="Q7" s="389">
        <f t="shared" si="0"/>
        <v>0</v>
      </c>
      <c r="R7" s="389">
        <f t="shared" si="0"/>
        <v>0</v>
      </c>
      <c r="S7" s="389">
        <f t="shared" si="0"/>
        <v>0</v>
      </c>
      <c r="T7" s="389">
        <f t="shared" si="0"/>
        <v>0</v>
      </c>
      <c r="U7" s="389">
        <f t="shared" si="0"/>
        <v>0</v>
      </c>
      <c r="V7" s="402">
        <f>AH21</f>
        <v>0</v>
      </c>
      <c r="Z7" s="431" t="str">
        <f>Z16</f>
        <v>Argentina</v>
      </c>
      <c r="AA7" s="428">
        <f>SUM(IF(AND($H$7&lt;&gt;"",$J$7&lt;&gt;"",$H$7&gt;$J$7),1,0)+IF(AND($H$11&lt;&gt;"",$J$11&lt;&gt;"",$H$11&gt;$J$11),1,0)+IF(AND($H$17&lt;&gt;"",$J$17&lt;&gt;"",$J$17&gt;$H$17),1,0))</f>
        <v>0</v>
      </c>
      <c r="AB7" s="428">
        <f>SUM(IF(AND($H$7&lt;&gt;"",$J$7&lt;&gt;"",$H$7=$J$7),1,0)+IF(AND($H$11&lt;&gt;"",$J$11&lt;&gt;"",$H$11=$J$11),1,0)+IF(AND($H$17&lt;&gt;"",$J$17&lt;&gt;"",$J$17=$H$17),1,0))</f>
        <v>0</v>
      </c>
      <c r="AC7" s="428">
        <f>SUM(IF(AND($H$7&lt;&gt;"",$J$7&lt;&gt;"",$H$7&lt;$J$7),1,0)+IF(AND($H$11&lt;&gt;"",$J$11&lt;&gt;"",$H$11&lt;$J$11),1,0)+IF(AND($H$17&lt;&gt;"",$J$17&lt;&gt;"",$J$17&lt;$H$17),1,0))</f>
        <v>0</v>
      </c>
      <c r="AD7" s="428">
        <f>SUM($H$7,$H$11,$J$17)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C2</v>
      </c>
      <c r="C8" s="516">
        <v>44887</v>
      </c>
      <c r="D8" s="518">
        <v>0.45833333333333331</v>
      </c>
      <c r="E8" s="475">
        <v>974</v>
      </c>
      <c r="F8" s="175" t="s">
        <v>7</v>
      </c>
      <c r="G8" s="477" t="str">
        <f>Z17</f>
        <v>México</v>
      </c>
      <c r="H8" s="114">
        <f>VLOOKUP(B8,DB_PARTIDOS!$A$1:$I$65,5)</f>
        <v>1</v>
      </c>
      <c r="I8" s="477" t="str">
        <f>Z18</f>
        <v>Polonia</v>
      </c>
      <c r="J8" s="114">
        <f>VLOOKUP($B$8,DB_PARTIDOS!$A$1:$I$65,7)</f>
        <v>2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388"/>
      <c r="O8" s="389"/>
      <c r="P8" s="389"/>
      <c r="Q8" s="389"/>
      <c r="R8" s="389"/>
      <c r="S8" s="389"/>
      <c r="T8" s="389"/>
      <c r="U8" s="389"/>
      <c r="V8" s="402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516"/>
      <c r="D9" s="518"/>
      <c r="E9" s="475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388" t="str">
        <f>Z22</f>
        <v>México</v>
      </c>
      <c r="O9" s="389">
        <f t="shared" ref="O9:V9" si="1">AA22</f>
        <v>0</v>
      </c>
      <c r="P9" s="389">
        <f t="shared" si="1"/>
        <v>0</v>
      </c>
      <c r="Q9" s="389">
        <f t="shared" si="1"/>
        <v>0</v>
      </c>
      <c r="R9" s="389">
        <f t="shared" si="1"/>
        <v>0</v>
      </c>
      <c r="S9" s="389">
        <f t="shared" si="1"/>
        <v>0</v>
      </c>
      <c r="T9" s="389">
        <f t="shared" si="1"/>
        <v>0</v>
      </c>
      <c r="U9" s="389">
        <f t="shared" si="1"/>
        <v>0</v>
      </c>
      <c r="V9" s="402">
        <f t="shared" si="1"/>
        <v>0</v>
      </c>
      <c r="Z9" s="432" t="str">
        <f>Z17</f>
        <v>México</v>
      </c>
      <c r="AA9" s="426">
        <f>SUM(IF(AND($H$9&lt;&gt;"",$J$9&lt;&gt;"",$H$9&gt;$J$9),1,0)+IF(AND($H$11&lt;&gt;"",$J$11&lt;&gt;"",$J$11&gt;$H$11),1,0)+IF(AND($H$15&lt;&gt;"",$J$15&lt;&gt;"",$J$15&gt;$H$15),1,0))</f>
        <v>0</v>
      </c>
      <c r="AB9" s="426">
        <f>SUM(IF(AND($H$9&lt;&gt;"",$J$9&lt;&gt;"",$H$9=$J$9),1,0)+IF(AND($H$11&lt;&gt;"",$J$11&lt;&gt;"",$J$11=$H$11),1,0)+IF(AND($H$15&lt;&gt;"",$J$15&lt;&gt;"",$J$15=$H$15),1,0))</f>
        <v>0</v>
      </c>
      <c r="AC9" s="426">
        <f>SUM(IF(AND($H$9&lt;&gt;"",$J$9&lt;&gt;"",$H$9&lt;$J$9),1,0)+IF(AND($H$11&lt;&gt;"",$J$11&lt;&gt;"",$J$11&lt;$H$11),1,0)+IF(AND($H$15&lt;&gt;"",$J$15&lt;&gt;"",$J$15&lt;H$15),1,0))</f>
        <v>0</v>
      </c>
      <c r="AD9" s="426">
        <f>SUM($H$9,$J$11,$J$15)</f>
        <v>0</v>
      </c>
      <c r="AE9" s="435">
        <f>SUM($J$9,$H$11,$H$15)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C3</v>
      </c>
      <c r="C10" s="516">
        <v>44891</v>
      </c>
      <c r="D10" s="518">
        <v>0.58333333333333337</v>
      </c>
      <c r="E10" s="475" t="s">
        <v>198</v>
      </c>
      <c r="F10" s="175" t="s">
        <v>7</v>
      </c>
      <c r="G10" s="477" t="str">
        <f>Z16</f>
        <v>Argentina</v>
      </c>
      <c r="H10" s="114">
        <f>VLOOKUP(B10,DB_PARTIDOS!$A$1:$I$65,5)</f>
        <v>2</v>
      </c>
      <c r="I10" s="477" t="str">
        <f>Z17</f>
        <v>México</v>
      </c>
      <c r="J10" s="114">
        <f>VLOOKUP($B$10,DB_PARTIDOS!$A$1:$I$65,7)</f>
        <v>0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388"/>
      <c r="O10" s="389"/>
      <c r="P10" s="389"/>
      <c r="Q10" s="389"/>
      <c r="R10" s="389"/>
      <c r="S10" s="389"/>
      <c r="T10" s="389"/>
      <c r="U10" s="389"/>
      <c r="V10" s="402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516"/>
      <c r="D11" s="518"/>
      <c r="E11" s="475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388" t="str">
        <f>Z23</f>
        <v>Polonia</v>
      </c>
      <c r="O11" s="389">
        <f t="shared" ref="O11:V11" si="2">AA23</f>
        <v>0</v>
      </c>
      <c r="P11" s="389">
        <f t="shared" si="2"/>
        <v>0</v>
      </c>
      <c r="Q11" s="389">
        <f t="shared" si="2"/>
        <v>0</v>
      </c>
      <c r="R11" s="389">
        <f t="shared" si="2"/>
        <v>0</v>
      </c>
      <c r="S11" s="389">
        <f t="shared" si="2"/>
        <v>0</v>
      </c>
      <c r="T11" s="389">
        <f t="shared" si="2"/>
        <v>0</v>
      </c>
      <c r="U11" s="389">
        <f t="shared" si="2"/>
        <v>0</v>
      </c>
      <c r="V11" s="402">
        <f t="shared" si="2"/>
        <v>0</v>
      </c>
      <c r="Z11" s="432" t="str">
        <f>Z18</f>
        <v>Polonia</v>
      </c>
      <c r="AA11" s="426">
        <f>SUM(IF(AND($H$9&lt;&gt;"",$J$9&lt;&gt;"",$J$9&gt;$H$9),1,0)+IF(AND($H$13&lt;&gt;"",$J$13&lt;&gt;"",$H$13&gt;$J$13),1,0)+IF(AND($H$17&lt;&gt;"",$J$17&lt;&gt;"",$H$17&gt;$J$17),1,0))</f>
        <v>0</v>
      </c>
      <c r="AB11" s="426">
        <f>SUM(IF(AND($H$9&lt;&gt;"",$J$9&lt;&gt;"",$J$9=$H$9),1,0)+IF(AND($H$13&lt;&gt;"",$J$13&lt;&gt;"",$H$13=$J$13),1,0)+IF(AND($H$17&lt;&gt;"",$J$17&lt;&gt;"",$H$17=$J$17),1,0))</f>
        <v>0</v>
      </c>
      <c r="AC11" s="426">
        <f>SUM(IF(AND($H$9&lt;&gt;"",$J$9&lt;&gt;"",$J$9&lt;$H$9),1,0)+IF(AND($H$13&lt;&gt;"",$J$13&lt;&gt;"",$H$13&lt;$J$13),1,0)+IF(AND($H$17&lt;&gt;"",$J$17&lt;&gt;"",$H$17&lt;$J$17),1,0))</f>
        <v>0</v>
      </c>
      <c r="AD11" s="426">
        <f>SUM($J$9,$H$13,$H$17)</f>
        <v>0</v>
      </c>
      <c r="AE11" s="435">
        <f>SUM($H$9,$J$13,$J$17)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ht="15" customHeight="1" x14ac:dyDescent="0.25">
      <c r="B12" s="38" t="str">
        <f>CONCATENATE(MID($C$2,7,1),4)</f>
        <v>C4</v>
      </c>
      <c r="C12" s="516">
        <v>44891</v>
      </c>
      <c r="D12" s="518">
        <v>0.33333333333333331</v>
      </c>
      <c r="E12" s="475" t="s">
        <v>197</v>
      </c>
      <c r="F12" s="175" t="s">
        <v>7</v>
      </c>
      <c r="G12" s="477" t="str">
        <f>Z18</f>
        <v>Polonia</v>
      </c>
      <c r="H12" s="114">
        <f>VLOOKUP(B12,DB_PARTIDOS!$A$1:$I$65,5)</f>
        <v>2</v>
      </c>
      <c r="I12" s="477" t="str">
        <f>Z19</f>
        <v>Arabia Saudita</v>
      </c>
      <c r="J12" s="114">
        <f>VLOOKUP($B$12,DB_PARTIDOS!$A$1:$I$65,7)</f>
        <v>1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388"/>
      <c r="O12" s="389"/>
      <c r="P12" s="389"/>
      <c r="Q12" s="389"/>
      <c r="R12" s="389"/>
      <c r="S12" s="389"/>
      <c r="T12" s="389"/>
      <c r="U12" s="389"/>
      <c r="V12" s="402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516"/>
      <c r="D13" s="518"/>
      <c r="E13" s="475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388" t="str">
        <f>Z24</f>
        <v>Arabia Saudita</v>
      </c>
      <c r="O13" s="389">
        <f t="shared" ref="O13:V13" si="3">AA24</f>
        <v>0</v>
      </c>
      <c r="P13" s="389">
        <f t="shared" si="3"/>
        <v>0</v>
      </c>
      <c r="Q13" s="389">
        <f t="shared" si="3"/>
        <v>0</v>
      </c>
      <c r="R13" s="389">
        <f t="shared" si="3"/>
        <v>0</v>
      </c>
      <c r="S13" s="389">
        <f t="shared" si="3"/>
        <v>0</v>
      </c>
      <c r="T13" s="389">
        <f t="shared" si="3"/>
        <v>0</v>
      </c>
      <c r="U13" s="389">
        <f t="shared" si="3"/>
        <v>0</v>
      </c>
      <c r="V13" s="402">
        <f t="shared" si="3"/>
        <v>0</v>
      </c>
      <c r="Z13" s="432" t="str">
        <f>Z21</f>
        <v>Argentina</v>
      </c>
      <c r="AA13" s="426">
        <f>SUM(IF(AND($H$7&lt;&gt;"",$J$7&lt;&gt;"",$J$7&gt;$H$7),1,0)+IF(AND($H$13&lt;&gt;"",$J$13&lt;&gt;"",$J$13&gt;$H$13),1,0)+IF(AND($H$15&lt;&gt;"",$J$15&lt;&gt;"",$H$15&gt;$J$15),1,0))</f>
        <v>0</v>
      </c>
      <c r="AB13" s="426">
        <f>SUM(IF(AND($H$7&lt;&gt;"",$J$7&lt;&gt;"",$J$7=$H$7),1,0)+IF(AND($H$13&lt;&gt;"",$J$13&lt;&gt;"",$J$13=$H$13),1,0)+IF(AND($H$15&lt;&gt;"",$J$15&lt;&gt;"",$H$15=$J$15),1,0))</f>
        <v>0</v>
      </c>
      <c r="AC13" s="426">
        <f>SUM(IF(AND($H$7&lt;&gt;"",$J$7&lt;&gt;"",$J$7&lt;$H$7),1,0)+IF(AND($H$13&lt;&gt;"",$J$13&lt;&gt;"",$J$13&lt;$H$13),1,0)+IF(AND($H$15&lt;&gt;"",$J$15&lt;&gt;"",$H$15&lt;$J$15),1,0))</f>
        <v>0</v>
      </c>
      <c r="AD13" s="426">
        <f>SUM($J$7,$J$13,$H$15)</f>
        <v>0</v>
      </c>
      <c r="AE13" s="435">
        <f>SUM($H$7,$H$13,$J$15)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C5</v>
      </c>
      <c r="C14" s="516">
        <v>44895</v>
      </c>
      <c r="D14" s="518">
        <v>0.58333333333333337</v>
      </c>
      <c r="E14" s="475" t="s">
        <v>198</v>
      </c>
      <c r="F14" s="175" t="s">
        <v>7</v>
      </c>
      <c r="G14" s="477" t="str">
        <f>Z19</f>
        <v>Arabia Saudita</v>
      </c>
      <c r="H14" s="114">
        <f>VLOOKUP(B14,DB_PARTIDOS!$A$1:$I$65,5)</f>
        <v>1</v>
      </c>
      <c r="I14" s="477" t="str">
        <f>Z17</f>
        <v>México</v>
      </c>
      <c r="J14" s="114">
        <f>VLOOKUP($B$14,DB_PARTIDOS!$A$1:$I$65,7)</f>
        <v>2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23"/>
      <c r="O14" s="424"/>
      <c r="P14" s="424"/>
      <c r="Q14" s="424"/>
      <c r="R14" s="424"/>
      <c r="S14" s="424"/>
      <c r="T14" s="424"/>
      <c r="U14" s="424"/>
      <c r="V14" s="425"/>
      <c r="Z14" s="432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516"/>
      <c r="D15" s="518"/>
      <c r="E15" s="475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13" t="s">
        <v>26</v>
      </c>
      <c r="O15" s="519" t="s">
        <v>22</v>
      </c>
      <c r="P15" s="519"/>
      <c r="Q15" s="519"/>
      <c r="R15" s="519"/>
      <c r="S15" s="519" t="s">
        <v>23</v>
      </c>
      <c r="T15" s="519"/>
      <c r="U15" s="519"/>
      <c r="V15" s="137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C6</v>
      </c>
      <c r="C16" s="516">
        <v>44895</v>
      </c>
      <c r="D16" s="518">
        <v>0.58333333333333337</v>
      </c>
      <c r="E16" s="475">
        <v>974</v>
      </c>
      <c r="F16" s="175" t="s">
        <v>7</v>
      </c>
      <c r="G16" s="477" t="str">
        <f>Z18</f>
        <v>Polonia</v>
      </c>
      <c r="H16" s="114">
        <f>VLOOKUP(B16,DB_PARTIDOS!$A$1:$I$65,5)</f>
        <v>1</v>
      </c>
      <c r="I16" s="477" t="str">
        <f>Z16</f>
        <v>Argentina</v>
      </c>
      <c r="J16" s="114">
        <f>VLOOKUP($B$16,DB_PARTIDOS!$A$1:$I$65,7)</f>
        <v>2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Argentina</v>
      </c>
      <c r="P16" s="384"/>
      <c r="Q16" s="384"/>
      <c r="R16" s="384"/>
      <c r="S16" s="419" t="str">
        <f>N7</f>
        <v>Argentina</v>
      </c>
      <c r="T16" s="419"/>
      <c r="U16" s="419"/>
      <c r="V16" s="218">
        <f>IF(OR(O16=S16,O16=S17),AC28,0)+IF(O16=S16,2,0)</f>
        <v>4</v>
      </c>
      <c r="X16" s="38" t="str">
        <f>CONCATENATE(MID($C$2,7,1),N16)</f>
        <v>C1</v>
      </c>
      <c r="Z16" s="61" t="s">
        <v>109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526"/>
      <c r="D17" s="527"/>
      <c r="E17" s="528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Polonia</v>
      </c>
      <c r="P17" s="385"/>
      <c r="Q17" s="385"/>
      <c r="R17" s="385"/>
      <c r="S17" s="420" t="str">
        <f>N9</f>
        <v>México</v>
      </c>
      <c r="T17" s="420"/>
      <c r="U17" s="420"/>
      <c r="V17" s="219">
        <f>IF(OR(O17=S17,O17=S16),AC28,0)+IF(O17=S17,2,0)</f>
        <v>0</v>
      </c>
      <c r="X17" s="38" t="str">
        <f>CONCATENATE(MID($C$2,7,1),N17)</f>
        <v>C2</v>
      </c>
      <c r="Z17" s="68" t="s">
        <v>188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153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146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520" t="s">
        <v>90</v>
      </c>
      <c r="K21" s="521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Argentina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2" t="s">
        <v>57</v>
      </c>
      <c r="D22" s="170" t="s">
        <v>26</v>
      </c>
      <c r="E22" s="28"/>
      <c r="F22" s="28"/>
      <c r="G22" s="28"/>
      <c r="H22" s="28"/>
      <c r="I22" s="28"/>
      <c r="J22" s="522"/>
      <c r="K22" s="523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México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Argentina</v>
      </c>
      <c r="D23" s="109">
        <v>1</v>
      </c>
      <c r="E23" s="28"/>
      <c r="F23" s="28"/>
      <c r="G23" s="28"/>
      <c r="H23" s="28"/>
      <c r="I23" s="28"/>
      <c r="J23" s="524"/>
      <c r="K23" s="525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Polonia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México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Arabia Saudita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Polonia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Argentina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AA28" s="69">
        <v>2</v>
      </c>
      <c r="AB28" s="69">
        <v>2</v>
      </c>
      <c r="AC28" s="69">
        <v>2</v>
      </c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38"/>
  <sheetViews>
    <sheetView showGridLines="0" zoomScale="80" zoomScaleNormal="80" workbookViewId="0">
      <selection activeCell="H7" sqref="H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8" ht="4.5" customHeight="1" thickBot="1" x14ac:dyDescent="0.3"/>
    <row r="2" spans="2:48" ht="15" customHeight="1" x14ac:dyDescent="0.25">
      <c r="C2" s="529" t="s">
        <v>82</v>
      </c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  <c r="P2" s="530"/>
      <c r="Q2" s="530"/>
      <c r="R2" s="530"/>
      <c r="S2" s="530"/>
      <c r="T2" s="530"/>
      <c r="U2" s="530"/>
      <c r="V2" s="531"/>
      <c r="W2" s="10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</row>
    <row r="3" spans="2:48" ht="15.75" customHeight="1" thickBot="1" x14ac:dyDescent="0.3">
      <c r="C3" s="532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4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2:48" x14ac:dyDescent="0.25">
      <c r="C4" s="535" t="s">
        <v>28</v>
      </c>
      <c r="D4" s="536"/>
      <c r="E4" s="536"/>
      <c r="F4" s="536"/>
      <c r="G4" s="536"/>
      <c r="H4" s="536"/>
      <c r="I4" s="536"/>
      <c r="J4" s="537"/>
      <c r="K4" s="538" t="s">
        <v>24</v>
      </c>
      <c r="L4" s="539"/>
      <c r="M4" s="540"/>
      <c r="N4" s="541" t="s">
        <v>21</v>
      </c>
      <c r="O4" s="539"/>
      <c r="P4" s="539"/>
      <c r="Q4" s="539"/>
      <c r="R4" s="539"/>
      <c r="S4" s="539"/>
      <c r="T4" s="539"/>
      <c r="U4" s="539"/>
      <c r="V4" s="542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2:48" ht="15.75" thickBot="1" x14ac:dyDescent="0.3">
      <c r="C5" s="181" t="s">
        <v>0</v>
      </c>
      <c r="D5" s="312" t="s">
        <v>1</v>
      </c>
      <c r="E5" s="312" t="s">
        <v>196</v>
      </c>
      <c r="F5" s="312" t="s">
        <v>2</v>
      </c>
      <c r="G5" s="546" t="s">
        <v>3</v>
      </c>
      <c r="H5" s="546"/>
      <c r="I5" s="546"/>
      <c r="J5" s="547"/>
      <c r="K5" s="322" t="s">
        <v>9</v>
      </c>
      <c r="L5" s="194" t="s">
        <v>10</v>
      </c>
      <c r="M5" s="195" t="s">
        <v>11</v>
      </c>
      <c r="N5" s="543"/>
      <c r="O5" s="544"/>
      <c r="P5" s="544"/>
      <c r="Q5" s="544"/>
      <c r="R5" s="544"/>
      <c r="S5" s="544"/>
      <c r="T5" s="544"/>
      <c r="U5" s="544"/>
      <c r="V5" s="545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2:48" ht="15.75" thickBot="1" x14ac:dyDescent="0.3">
      <c r="B6" s="38" t="str">
        <f>CONCATENATE(MID($C$2,7,1),1)</f>
        <v>D1</v>
      </c>
      <c r="C6" s="470">
        <v>44887</v>
      </c>
      <c r="D6" s="472">
        <v>0.58333333333333337</v>
      </c>
      <c r="E6" s="474" t="s">
        <v>199</v>
      </c>
      <c r="F6" s="174" t="s">
        <v>7</v>
      </c>
      <c r="G6" s="476" t="str">
        <f>Z16</f>
        <v>Francia</v>
      </c>
      <c r="H6" s="173">
        <f>VLOOKUP($B$6,DB_PARTIDOS!$A$1:$I$65,5)</f>
        <v>2</v>
      </c>
      <c r="I6" s="476" t="str">
        <f>Z19</f>
        <v>Australia</v>
      </c>
      <c r="J6" s="173">
        <f>VLOOKUP($B$6,DB_PARTIDOS!$A$1:$I$65,7)</f>
        <v>0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10" t="s">
        <v>12</v>
      </c>
      <c r="O6" s="125" t="s">
        <v>13</v>
      </c>
      <c r="P6" s="125" t="s">
        <v>14</v>
      </c>
      <c r="Q6" s="125" t="s">
        <v>15</v>
      </c>
      <c r="R6" s="125" t="s">
        <v>16</v>
      </c>
      <c r="S6" s="125" t="s">
        <v>17</v>
      </c>
      <c r="T6" s="125" t="s">
        <v>18</v>
      </c>
      <c r="U6" s="125" t="s">
        <v>19</v>
      </c>
      <c r="V6" s="126" t="s">
        <v>20</v>
      </c>
      <c r="W6" s="28"/>
      <c r="X6" s="28"/>
      <c r="Y6" s="28"/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I6" s="28"/>
      <c r="AJ6" s="28"/>
      <c r="AK6" s="28"/>
      <c r="AL6" s="51"/>
      <c r="AM6" s="51"/>
      <c r="AN6" s="51"/>
      <c r="AO6" s="51"/>
      <c r="AP6" s="51"/>
      <c r="AQ6" s="51"/>
      <c r="AR6" s="51"/>
      <c r="AS6" s="51"/>
      <c r="AT6" s="54"/>
      <c r="AU6" s="28"/>
      <c r="AV6" s="28"/>
    </row>
    <row r="7" spans="2:48" x14ac:dyDescent="0.25">
      <c r="C7" s="471"/>
      <c r="D7" s="473"/>
      <c r="E7" s="475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388" t="str">
        <f>Z21</f>
        <v>Francia</v>
      </c>
      <c r="O7" s="389">
        <f t="shared" ref="O7:U7" si="0">AA21</f>
        <v>0</v>
      </c>
      <c r="P7" s="389">
        <f t="shared" si="0"/>
        <v>0</v>
      </c>
      <c r="Q7" s="389">
        <f t="shared" si="0"/>
        <v>0</v>
      </c>
      <c r="R7" s="389">
        <f t="shared" si="0"/>
        <v>0</v>
      </c>
      <c r="S7" s="389">
        <f t="shared" si="0"/>
        <v>0</v>
      </c>
      <c r="T7" s="389">
        <f t="shared" si="0"/>
        <v>0</v>
      </c>
      <c r="U7" s="548">
        <f t="shared" si="0"/>
        <v>0</v>
      </c>
      <c r="V7" s="402">
        <f>AH21</f>
        <v>0</v>
      </c>
      <c r="W7" s="28"/>
      <c r="X7" s="28"/>
      <c r="Y7" s="28"/>
      <c r="Z7" s="431" t="str">
        <f>Z16</f>
        <v>Francia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K7" s="28"/>
      <c r="AL7" s="54"/>
      <c r="AM7" s="54"/>
      <c r="AN7" s="54"/>
      <c r="AO7" s="54"/>
      <c r="AP7" s="54"/>
      <c r="AQ7" s="54"/>
      <c r="AR7" s="54"/>
      <c r="AS7" s="54"/>
      <c r="AT7" s="54"/>
      <c r="AU7" s="28"/>
      <c r="AV7" s="28"/>
    </row>
    <row r="8" spans="2:48" x14ac:dyDescent="0.25">
      <c r="B8" s="38" t="str">
        <f>CONCATENATE(MID($C$2,7,1),2)</f>
        <v>D2</v>
      </c>
      <c r="C8" s="471">
        <v>44887</v>
      </c>
      <c r="D8" s="473">
        <v>0.33333333333333331</v>
      </c>
      <c r="E8" s="475" t="s">
        <v>197</v>
      </c>
      <c r="F8" s="175" t="s">
        <v>7</v>
      </c>
      <c r="G8" s="477" t="str">
        <f>Z18</f>
        <v>Dinamarca</v>
      </c>
      <c r="H8" s="114">
        <f>VLOOKUP(B8,DB_PARTIDOS!$A$1:$I$65,5)</f>
        <v>2</v>
      </c>
      <c r="I8" s="477" t="str">
        <f>Z17</f>
        <v>Túnez</v>
      </c>
      <c r="J8" s="114">
        <f>VLOOKUP($B$8,DB_PARTIDOS!$A$1:$I$65,7)</f>
        <v>1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388"/>
      <c r="O8" s="389"/>
      <c r="P8" s="389"/>
      <c r="Q8" s="389"/>
      <c r="R8" s="389"/>
      <c r="S8" s="389"/>
      <c r="T8" s="389"/>
      <c r="U8" s="548"/>
      <c r="V8" s="402"/>
      <c r="W8" s="28"/>
      <c r="X8" s="28"/>
      <c r="Y8" s="28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K8" s="28"/>
      <c r="AL8" s="54"/>
      <c r="AM8" s="54"/>
      <c r="AN8" s="54"/>
      <c r="AO8" s="54"/>
      <c r="AP8" s="54"/>
      <c r="AQ8" s="54"/>
      <c r="AR8" s="54"/>
      <c r="AS8" s="54"/>
      <c r="AT8" s="54"/>
      <c r="AU8" s="28"/>
      <c r="AV8" s="28"/>
    </row>
    <row r="9" spans="2:48" x14ac:dyDescent="0.25">
      <c r="C9" s="471"/>
      <c r="D9" s="473"/>
      <c r="E9" s="475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388" t="str">
        <f>Z22</f>
        <v>Túnez</v>
      </c>
      <c r="O9" s="389">
        <f t="shared" ref="O9:V9" si="1">AA22</f>
        <v>0</v>
      </c>
      <c r="P9" s="389">
        <f t="shared" si="1"/>
        <v>0</v>
      </c>
      <c r="Q9" s="389">
        <f t="shared" si="1"/>
        <v>0</v>
      </c>
      <c r="R9" s="389">
        <f t="shared" si="1"/>
        <v>0</v>
      </c>
      <c r="S9" s="389">
        <f t="shared" si="1"/>
        <v>0</v>
      </c>
      <c r="T9" s="389">
        <f t="shared" si="1"/>
        <v>0</v>
      </c>
      <c r="U9" s="548">
        <f t="shared" si="1"/>
        <v>0</v>
      </c>
      <c r="V9" s="402">
        <f t="shared" si="1"/>
        <v>0</v>
      </c>
      <c r="W9" s="28"/>
      <c r="X9" s="28"/>
      <c r="Y9" s="28"/>
      <c r="Z9" s="432" t="str">
        <f>Z17</f>
        <v>Túnez</v>
      </c>
      <c r="AA9" s="426">
        <f>SUM(IF(AND($H$9&lt;&gt;"",$J$9&lt;&gt;"",$H$9&lt;$J$9),1,0)+IF(AND($H$11&lt;&gt;"",$J$11&lt;&gt;"",$J$11&lt;$H$11),1,0)+IF(AND($H$17&lt;&gt;"",$J$17&lt;&gt;"",$J$17&lt;$H$17),1,0))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SUM(IF(AND($H$9&lt;&gt;"",$J$9&lt;&gt;"",$H$9&gt;$J$9),1,0)+IF(AND($H$11&lt;&gt;"",$J$11&lt;&gt;"",$J$11&gt;$H$11),1,0)+IF(AND($H$17&lt;&gt;"",$J$17&lt;&gt;"",$J$17&gt;H$17),1,0))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K9" s="28"/>
      <c r="AL9" s="54"/>
      <c r="AM9" s="54"/>
      <c r="AN9" s="54"/>
      <c r="AO9" s="54"/>
      <c r="AP9" s="54"/>
      <c r="AQ9" s="54"/>
      <c r="AR9" s="54"/>
      <c r="AS9" s="54"/>
      <c r="AT9" s="54"/>
      <c r="AU9" s="28"/>
      <c r="AV9" s="28"/>
    </row>
    <row r="10" spans="2:48" x14ac:dyDescent="0.25">
      <c r="B10" s="38" t="str">
        <f>CONCATENATE(MID($C$2,7,1),3)</f>
        <v>D3</v>
      </c>
      <c r="C10" s="471">
        <v>44891</v>
      </c>
      <c r="D10" s="473">
        <v>0.20833333333333334</v>
      </c>
      <c r="E10" s="475" t="s">
        <v>199</v>
      </c>
      <c r="F10" s="175" t="s">
        <v>7</v>
      </c>
      <c r="G10" s="477" t="str">
        <f>Z17</f>
        <v>Túnez</v>
      </c>
      <c r="H10" s="114">
        <f>VLOOKUP(B10,DB_PARTIDOS!$A$1:$I$65,5)</f>
        <v>1</v>
      </c>
      <c r="I10" s="477" t="str">
        <f>Z19</f>
        <v>Australia</v>
      </c>
      <c r="J10" s="114">
        <f>VLOOKUP($B$10,DB_PARTIDOS!$A$1:$I$65,7)</f>
        <v>1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388"/>
      <c r="O10" s="389"/>
      <c r="P10" s="389"/>
      <c r="Q10" s="389"/>
      <c r="R10" s="389"/>
      <c r="S10" s="389"/>
      <c r="T10" s="389"/>
      <c r="U10" s="548"/>
      <c r="V10" s="402"/>
      <c r="W10" s="28"/>
      <c r="X10" s="28"/>
      <c r="Y10" s="28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K10" s="28"/>
      <c r="AL10" s="54"/>
      <c r="AM10" s="54"/>
      <c r="AN10" s="54"/>
      <c r="AO10" s="54"/>
      <c r="AP10" s="54"/>
      <c r="AQ10" s="54"/>
      <c r="AR10" s="54"/>
      <c r="AS10" s="54"/>
      <c r="AT10" s="54"/>
      <c r="AU10" s="28"/>
      <c r="AV10" s="28"/>
    </row>
    <row r="11" spans="2:48" x14ac:dyDescent="0.25">
      <c r="C11" s="471"/>
      <c r="D11" s="473"/>
      <c r="E11" s="475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388" t="str">
        <f>Z23</f>
        <v>Dinamarca</v>
      </c>
      <c r="O11" s="389">
        <f t="shared" ref="O11:V11" si="2">AA23</f>
        <v>0</v>
      </c>
      <c r="P11" s="389">
        <f t="shared" si="2"/>
        <v>0</v>
      </c>
      <c r="Q11" s="389">
        <f t="shared" si="2"/>
        <v>0</v>
      </c>
      <c r="R11" s="389">
        <f t="shared" si="2"/>
        <v>0</v>
      </c>
      <c r="S11" s="389">
        <f t="shared" si="2"/>
        <v>0</v>
      </c>
      <c r="T11" s="389">
        <f t="shared" si="2"/>
        <v>0</v>
      </c>
      <c r="U11" s="548">
        <f t="shared" si="2"/>
        <v>0</v>
      </c>
      <c r="V11" s="402">
        <f t="shared" si="2"/>
        <v>0</v>
      </c>
      <c r="W11" s="28"/>
      <c r="X11" s="28"/>
      <c r="Y11" s="28"/>
      <c r="Z11" s="432" t="str">
        <f>Z18</f>
        <v>Dinamarca</v>
      </c>
      <c r="AA11" s="426">
        <f>SUM(IF(AND($H$9&lt;&gt;"",$J$9&lt;&gt;"",$J$9&lt;$H$9),1,0)+IF(AND($H$13&lt;&gt;"",$J$13&lt;&gt;"",$H$13&lt;J$13),1,0)+IF(AND($H$15&lt;&gt;"",$J$15&lt;&gt;"",$H$15&lt;$J$15),1,0))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2:48" x14ac:dyDescent="0.25">
      <c r="B12" s="38" t="str">
        <f>CONCATENATE(MID($C$2,7,1),4)</f>
        <v>D4</v>
      </c>
      <c r="C12" s="471">
        <v>44891</v>
      </c>
      <c r="D12" s="473">
        <v>0.45833333333333331</v>
      </c>
      <c r="E12" s="475">
        <v>974</v>
      </c>
      <c r="F12" s="175" t="s">
        <v>7</v>
      </c>
      <c r="G12" s="477" t="str">
        <f>Z16</f>
        <v>Francia</v>
      </c>
      <c r="H12" s="114">
        <f>VLOOKUP(B12,DB_PARTIDOS!$A$1:$I$65,5)</f>
        <v>2</v>
      </c>
      <c r="I12" s="477" t="str">
        <f>Z18</f>
        <v>Dinamarca</v>
      </c>
      <c r="J12" s="114">
        <f>VLOOKUP($B$12,DB_PARTIDOS!$A$1:$I$65,7)</f>
        <v>1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388"/>
      <c r="O12" s="389"/>
      <c r="P12" s="389"/>
      <c r="Q12" s="389"/>
      <c r="R12" s="389"/>
      <c r="S12" s="389"/>
      <c r="T12" s="389"/>
      <c r="U12" s="548"/>
      <c r="V12" s="402"/>
      <c r="W12" s="28"/>
      <c r="X12" s="28"/>
      <c r="Y12" s="28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K12" s="28"/>
      <c r="AL12" s="51"/>
      <c r="AM12" s="54"/>
      <c r="AN12" s="54"/>
      <c r="AO12" s="54"/>
      <c r="AP12" s="54"/>
      <c r="AQ12" s="54"/>
      <c r="AR12" s="54"/>
      <c r="AS12" s="54"/>
      <c r="AT12" s="28"/>
      <c r="AU12" s="28"/>
      <c r="AV12" s="28"/>
    </row>
    <row r="13" spans="2:48" x14ac:dyDescent="0.25">
      <c r="C13" s="471"/>
      <c r="D13" s="473"/>
      <c r="E13" s="475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388" t="str">
        <f>Z24</f>
        <v>Australia</v>
      </c>
      <c r="O13" s="389">
        <f t="shared" ref="O13:V13" si="3">AA24</f>
        <v>0</v>
      </c>
      <c r="P13" s="389">
        <f t="shared" si="3"/>
        <v>0</v>
      </c>
      <c r="Q13" s="389">
        <f t="shared" si="3"/>
        <v>0</v>
      </c>
      <c r="R13" s="389">
        <f t="shared" si="3"/>
        <v>0</v>
      </c>
      <c r="S13" s="389">
        <f t="shared" si="3"/>
        <v>0</v>
      </c>
      <c r="T13" s="389">
        <f t="shared" si="3"/>
        <v>0</v>
      </c>
      <c r="U13" s="548">
        <f t="shared" si="3"/>
        <v>0</v>
      </c>
      <c r="V13" s="402">
        <f t="shared" si="3"/>
        <v>0</v>
      </c>
      <c r="W13" s="28"/>
      <c r="X13" s="28"/>
      <c r="Y13" s="28"/>
      <c r="Z13" s="432" t="str">
        <f>Z19</f>
        <v>Australia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K13" s="28"/>
      <c r="AL13" s="54"/>
      <c r="AM13" s="54"/>
      <c r="AN13" s="54"/>
      <c r="AO13" s="54"/>
      <c r="AP13" s="54"/>
      <c r="AQ13" s="54"/>
      <c r="AR13" s="54"/>
      <c r="AS13" s="54"/>
      <c r="AT13" s="28"/>
      <c r="AU13" s="28"/>
      <c r="AV13" s="28"/>
    </row>
    <row r="14" spans="2:48" ht="15.75" thickBot="1" x14ac:dyDescent="0.3">
      <c r="B14" s="38" t="str">
        <f>CONCATENATE(MID($C$2,7,1),5)</f>
        <v>D5</v>
      </c>
      <c r="C14" s="471">
        <v>44895</v>
      </c>
      <c r="D14" s="473">
        <v>0.41666666666666669</v>
      </c>
      <c r="E14" s="475" t="s">
        <v>199</v>
      </c>
      <c r="F14" s="175" t="s">
        <v>7</v>
      </c>
      <c r="G14" s="477" t="str">
        <f>Z19</f>
        <v>Australia</v>
      </c>
      <c r="H14" s="114">
        <f>VLOOKUP(B14,DB_PARTIDOS!$A$1:$I$65,5)</f>
        <v>1</v>
      </c>
      <c r="I14" s="477" t="str">
        <f>Z18</f>
        <v>Dinamarca</v>
      </c>
      <c r="J14" s="114">
        <f>VLOOKUP($B$14,DB_PARTIDOS!$A$1:$I$65,7)</f>
        <v>2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23"/>
      <c r="O14" s="424"/>
      <c r="P14" s="424"/>
      <c r="Q14" s="424"/>
      <c r="R14" s="424"/>
      <c r="S14" s="424"/>
      <c r="T14" s="424"/>
      <c r="U14" s="550"/>
      <c r="V14" s="425"/>
      <c r="W14" s="28"/>
      <c r="X14" s="28"/>
      <c r="Y14" s="28"/>
      <c r="Z14" s="432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K14" s="28"/>
      <c r="AL14" s="54"/>
      <c r="AM14" s="54"/>
      <c r="AN14" s="54"/>
      <c r="AO14" s="54"/>
      <c r="AP14" s="54"/>
      <c r="AQ14" s="54"/>
      <c r="AR14" s="54"/>
      <c r="AS14" s="54"/>
      <c r="AT14" s="28"/>
      <c r="AU14" s="28"/>
      <c r="AV14" s="28"/>
    </row>
    <row r="15" spans="2:48" ht="15.75" thickBot="1" x14ac:dyDescent="0.3">
      <c r="C15" s="471"/>
      <c r="D15" s="473"/>
      <c r="E15" s="475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11" t="s">
        <v>26</v>
      </c>
      <c r="O15" s="549" t="s">
        <v>22</v>
      </c>
      <c r="P15" s="549"/>
      <c r="Q15" s="549"/>
      <c r="R15" s="549"/>
      <c r="S15" s="549" t="s">
        <v>23</v>
      </c>
      <c r="T15" s="549"/>
      <c r="U15" s="549"/>
      <c r="V15" s="136" t="s">
        <v>25</v>
      </c>
      <c r="W15" s="28"/>
      <c r="X15" s="28"/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  <c r="AT15" s="28"/>
      <c r="AU15" s="28"/>
      <c r="AV15" s="28"/>
    </row>
    <row r="16" spans="2:48" x14ac:dyDescent="0.25">
      <c r="B16" s="38" t="str">
        <f>CONCATENATE(MID($C$2,7,1),6)</f>
        <v>D6</v>
      </c>
      <c r="C16" s="471">
        <v>44895</v>
      </c>
      <c r="D16" s="473">
        <v>0.41666666666666669</v>
      </c>
      <c r="E16" s="475" t="s">
        <v>197</v>
      </c>
      <c r="F16" s="175" t="s">
        <v>7</v>
      </c>
      <c r="G16" s="477" t="str">
        <f>Z17</f>
        <v>Túnez</v>
      </c>
      <c r="H16" s="114">
        <f>VLOOKUP(B16,DB_PARTIDOS!$A$1:$I$65,5)</f>
        <v>0</v>
      </c>
      <c r="I16" s="477" t="str">
        <f>Z16</f>
        <v>Francia</v>
      </c>
      <c r="J16" s="114">
        <f>VLOOKUP($B$16,DB_PARTIDOS!$A$1:$I$65,7)</f>
        <v>3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Francia</v>
      </c>
      <c r="P16" s="384"/>
      <c r="Q16" s="384"/>
      <c r="R16" s="384"/>
      <c r="S16" s="551" t="str">
        <f>N7</f>
        <v>Francia</v>
      </c>
      <c r="T16" s="551"/>
      <c r="U16" s="551"/>
      <c r="V16" s="218">
        <f>IF(OR(O16=S16,O16=S17),AC28,0)+IF(O16=S16,2,0)</f>
        <v>4</v>
      </c>
      <c r="W16" s="28"/>
      <c r="X16" s="28" t="str">
        <f>CONCATENATE(MID($C$2,7,1),N16)</f>
        <v>D1</v>
      </c>
      <c r="Z16" s="61" t="s">
        <v>108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  <c r="AT16" s="28"/>
      <c r="AU16" s="28"/>
      <c r="AV16" s="28"/>
    </row>
    <row r="17" spans="3:48" ht="15.75" thickBot="1" x14ac:dyDescent="0.3">
      <c r="C17" s="493"/>
      <c r="D17" s="558"/>
      <c r="E17" s="528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Dinamarca</v>
      </c>
      <c r="P17" s="385"/>
      <c r="Q17" s="385"/>
      <c r="R17" s="385"/>
      <c r="S17" s="387" t="str">
        <f>N9</f>
        <v>Túnez</v>
      </c>
      <c r="T17" s="387"/>
      <c r="U17" s="387"/>
      <c r="V17" s="219">
        <f>IF(OR(O17=S17,O17=S16),AC28,0)+IF(O17=S17,2,0)</f>
        <v>0</v>
      </c>
      <c r="W17" s="28"/>
      <c r="X17" s="28" t="str">
        <f>CONCATENATE(MID($C$2,7,1),N17)</f>
        <v>D2</v>
      </c>
      <c r="Z17" s="68" t="s">
        <v>152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  <c r="AT17" s="28"/>
      <c r="AU17" s="28"/>
      <c r="AV17" s="28"/>
    </row>
    <row r="18" spans="3:48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W18" s="28"/>
      <c r="X18" s="28"/>
      <c r="Z18" s="68" t="s">
        <v>149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  <c r="AT18" s="28"/>
      <c r="AU18" s="28"/>
      <c r="AV18" s="28"/>
    </row>
    <row r="19" spans="3:48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8"/>
      <c r="X19" s="28"/>
      <c r="Z19" s="68" t="s">
        <v>103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  <c r="AT19" s="28"/>
      <c r="AU19" s="28"/>
      <c r="AV19" s="28"/>
    </row>
    <row r="20" spans="3:48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8"/>
      <c r="X20" s="28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  <c r="AT20" s="28"/>
      <c r="AU20" s="28"/>
      <c r="AV20" s="28"/>
    </row>
    <row r="21" spans="3:48" ht="15" customHeight="1" thickBot="1" x14ac:dyDescent="0.3">
      <c r="C21" s="444"/>
      <c r="D21" s="445"/>
      <c r="E21" s="28"/>
      <c r="F21" s="28"/>
      <c r="G21" s="28"/>
      <c r="H21" s="28"/>
      <c r="I21" s="28"/>
      <c r="J21" s="552" t="s">
        <v>89</v>
      </c>
      <c r="K21" s="553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W21" s="28"/>
      <c r="X21" s="28"/>
      <c r="Y21" s="61">
        <v>1</v>
      </c>
      <c r="Z21" s="62" t="str">
        <f>INDEX(Equipos,MATCH($Y21,Jera2,0))</f>
        <v>Francia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  <c r="AT21" s="28"/>
      <c r="AU21" s="28"/>
      <c r="AV21" s="28"/>
    </row>
    <row r="22" spans="3:48" ht="15" customHeight="1" thickBot="1" x14ac:dyDescent="0.3">
      <c r="C22" s="161" t="s">
        <v>57</v>
      </c>
      <c r="D22" s="169" t="s">
        <v>26</v>
      </c>
      <c r="E22" s="28"/>
      <c r="F22" s="28"/>
      <c r="G22" s="28"/>
      <c r="H22" s="28"/>
      <c r="I22" s="28"/>
      <c r="J22" s="554"/>
      <c r="K22" s="555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W22" s="28"/>
      <c r="X22" s="28"/>
      <c r="Y22" s="68">
        <v>2</v>
      </c>
      <c r="Z22" s="69" t="str">
        <f>INDEX(Equipos,MATCH(Y22,Jera2,0))</f>
        <v>Túnez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  <c r="AT22" s="28"/>
      <c r="AU22" s="28"/>
      <c r="AV22" s="28"/>
    </row>
    <row r="23" spans="3:48" ht="15" customHeight="1" thickBot="1" x14ac:dyDescent="0.3">
      <c r="C23" s="220" t="str">
        <f>Z7</f>
        <v>Francia</v>
      </c>
      <c r="D23" s="109">
        <v>1</v>
      </c>
      <c r="E23" s="28"/>
      <c r="F23" s="28"/>
      <c r="G23" s="28"/>
      <c r="H23" s="28"/>
      <c r="I23" s="28"/>
      <c r="J23" s="556"/>
      <c r="K23" s="557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W23" s="28"/>
      <c r="X23" s="28"/>
      <c r="Y23" s="68">
        <v>3</v>
      </c>
      <c r="Z23" s="69" t="str">
        <f>INDEX(Equipos,MATCH(Y23,Jera2,0))</f>
        <v>Dinamarca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  <c r="AT23" s="28"/>
      <c r="AU23" s="28"/>
      <c r="AV23" s="28"/>
    </row>
    <row r="24" spans="3:48" ht="15.75" thickBot="1" x14ac:dyDescent="0.3">
      <c r="C24" s="221" t="str">
        <f>Z9</f>
        <v>Túnez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28"/>
      <c r="X24" s="28"/>
      <c r="Y24" s="85">
        <v>4</v>
      </c>
      <c r="Z24" s="78" t="str">
        <f>INDEX(Equipos,MATCH(Y24,Jera2,0))</f>
        <v>Australia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  <c r="AT24" s="28"/>
      <c r="AU24" s="28"/>
      <c r="AV24" s="28"/>
    </row>
    <row r="25" spans="3:48" ht="15.75" thickBot="1" x14ac:dyDescent="0.3">
      <c r="C25" s="221" t="str">
        <f>Z11</f>
        <v>Dinamarca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8"/>
      <c r="X25" s="28"/>
      <c r="AT25" s="28"/>
      <c r="AU25" s="28"/>
      <c r="AV25" s="28"/>
    </row>
    <row r="26" spans="3:48" ht="15.75" thickBot="1" x14ac:dyDescent="0.3">
      <c r="C26" s="222" t="str">
        <f>Z13</f>
        <v>Australia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8"/>
      <c r="X26" s="28"/>
      <c r="AA26" s="429" t="s">
        <v>65</v>
      </c>
      <c r="AB26" s="421"/>
      <c r="AC26" s="430"/>
      <c r="AD26" s="3"/>
      <c r="AT26" s="28"/>
      <c r="AU26" s="28"/>
      <c r="AV26" s="28"/>
    </row>
    <row r="27" spans="3:48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W27" s="28"/>
      <c r="X27" s="28"/>
      <c r="AA27" s="62" t="s">
        <v>66</v>
      </c>
      <c r="AB27" s="62" t="s">
        <v>67</v>
      </c>
      <c r="AC27" s="62" t="s">
        <v>68</v>
      </c>
      <c r="AT27" s="28"/>
      <c r="AU27" s="28"/>
      <c r="AV27" s="28"/>
    </row>
    <row r="28" spans="3:48" x14ac:dyDescent="0.25">
      <c r="D28" s="54"/>
      <c r="E28" s="103"/>
      <c r="F28" s="104"/>
      <c r="G28" s="26"/>
      <c r="H28" s="105"/>
      <c r="I28" s="26"/>
      <c r="J28" s="105"/>
      <c r="K28" s="26"/>
      <c r="L28" s="105"/>
      <c r="M28" s="105"/>
      <c r="N28" s="105"/>
      <c r="O28" s="92"/>
      <c r="W28" s="28"/>
      <c r="X28" s="28"/>
      <c r="AA28" s="69">
        <v>2</v>
      </c>
      <c r="AB28" s="69">
        <v>2</v>
      </c>
      <c r="AC28" s="69">
        <v>2</v>
      </c>
      <c r="AT28" s="28"/>
      <c r="AU28" s="28"/>
      <c r="AV28" s="28"/>
    </row>
    <row r="29" spans="3:48" x14ac:dyDescent="0.25">
      <c r="D29" s="54"/>
      <c r="E29" s="103"/>
      <c r="F29" s="104"/>
      <c r="G29" s="26"/>
      <c r="H29" s="105"/>
      <c r="I29" s="26"/>
      <c r="J29" s="105"/>
      <c r="K29" s="26"/>
      <c r="L29" s="105"/>
      <c r="M29" s="105"/>
      <c r="N29" s="105"/>
      <c r="O29" s="92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3:48" x14ac:dyDescent="0.25">
      <c r="D30" s="54"/>
      <c r="E30" s="103"/>
      <c r="F30" s="104"/>
      <c r="G30" s="26"/>
      <c r="H30" s="105"/>
      <c r="I30" s="26"/>
      <c r="J30" s="105"/>
      <c r="K30" s="26"/>
      <c r="L30" s="105"/>
      <c r="M30" s="105"/>
      <c r="N30" s="105"/>
      <c r="O30" s="92"/>
    </row>
    <row r="31" spans="3:48" x14ac:dyDescent="0.25">
      <c r="D31" s="54"/>
      <c r="E31" s="103"/>
      <c r="F31" s="104"/>
      <c r="G31" s="26"/>
      <c r="H31" s="105"/>
      <c r="I31" s="26"/>
      <c r="J31" s="105"/>
      <c r="K31" s="26"/>
      <c r="L31" s="105"/>
      <c r="M31" s="105"/>
      <c r="N31" s="105"/>
      <c r="O31" s="92"/>
    </row>
    <row r="32" spans="3:48" x14ac:dyDescent="0.25">
      <c r="D32" s="54"/>
      <c r="E32" s="103"/>
      <c r="F32" s="104"/>
      <c r="G32" s="26"/>
      <c r="H32" s="105"/>
      <c r="I32" s="26"/>
      <c r="J32" s="105"/>
      <c r="K32" s="26"/>
      <c r="L32" s="105"/>
      <c r="M32" s="105"/>
      <c r="N32" s="105"/>
      <c r="O32" s="92"/>
    </row>
    <row r="33" spans="4:15" x14ac:dyDescent="0.25">
      <c r="D33" s="54"/>
      <c r="E33" s="103"/>
      <c r="F33" s="104"/>
      <c r="G33" s="26"/>
      <c r="H33" s="105"/>
      <c r="I33" s="26"/>
      <c r="J33" s="105"/>
      <c r="K33" s="26"/>
      <c r="L33" s="105"/>
      <c r="M33" s="105"/>
      <c r="N33" s="105"/>
      <c r="O33" s="92"/>
    </row>
    <row r="34" spans="4:15" x14ac:dyDescent="0.25">
      <c r="D34" s="54"/>
      <c r="E34" s="54"/>
      <c r="F34" s="54"/>
      <c r="G34" s="105"/>
      <c r="H34" s="105"/>
      <c r="I34" s="105"/>
      <c r="J34" s="105"/>
      <c r="K34" s="105"/>
      <c r="L34" s="105"/>
      <c r="M34" s="105"/>
      <c r="N34" s="105"/>
      <c r="O34" s="92"/>
    </row>
    <row r="35" spans="4:15" x14ac:dyDescent="0.25">
      <c r="G35" s="92"/>
      <c r="H35" s="92"/>
      <c r="I35" s="92"/>
      <c r="J35" s="92"/>
      <c r="K35" s="92"/>
      <c r="L35" s="92"/>
      <c r="M35" s="92"/>
      <c r="N35" s="92"/>
      <c r="O35" s="92"/>
    </row>
    <row r="36" spans="4:15" x14ac:dyDescent="0.25">
      <c r="G36" s="92"/>
      <c r="H36" s="92"/>
      <c r="I36" s="92"/>
      <c r="J36" s="92"/>
      <c r="K36" s="92"/>
      <c r="L36" s="92"/>
      <c r="M36" s="92"/>
      <c r="N36" s="92"/>
      <c r="O36" s="92"/>
    </row>
    <row r="37" spans="4:15" x14ac:dyDescent="0.25">
      <c r="G37" s="92"/>
      <c r="H37" s="92"/>
      <c r="I37" s="92"/>
      <c r="J37" s="92"/>
      <c r="K37" s="92"/>
      <c r="L37" s="92"/>
      <c r="M37" s="92"/>
      <c r="N37" s="92"/>
      <c r="O37" s="92"/>
    </row>
    <row r="38" spans="4:15" x14ac:dyDescent="0.25">
      <c r="G38" s="92"/>
      <c r="H38" s="92"/>
      <c r="I38" s="92"/>
      <c r="J38" s="92"/>
      <c r="K38" s="92"/>
      <c r="L38" s="92"/>
      <c r="M38" s="92"/>
      <c r="N38" s="92"/>
      <c r="O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7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0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59" t="s">
        <v>83</v>
      </c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  <c r="T2" s="560"/>
      <c r="U2" s="560"/>
      <c r="V2" s="561"/>
    </row>
    <row r="3" spans="2:46" ht="15.75" customHeight="1" thickBot="1" x14ac:dyDescent="0.3">
      <c r="C3" s="562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  <c r="U3" s="563"/>
      <c r="V3" s="564"/>
    </row>
    <row r="4" spans="2:46" x14ac:dyDescent="0.25">
      <c r="C4" s="565" t="s">
        <v>28</v>
      </c>
      <c r="D4" s="566"/>
      <c r="E4" s="566"/>
      <c r="F4" s="566"/>
      <c r="G4" s="566"/>
      <c r="H4" s="566"/>
      <c r="I4" s="566"/>
      <c r="J4" s="567"/>
      <c r="K4" s="568" t="s">
        <v>24</v>
      </c>
      <c r="L4" s="569"/>
      <c r="M4" s="570"/>
      <c r="N4" s="571" t="s">
        <v>21</v>
      </c>
      <c r="O4" s="569"/>
      <c r="P4" s="569"/>
      <c r="Q4" s="569"/>
      <c r="R4" s="569"/>
      <c r="S4" s="569"/>
      <c r="T4" s="569"/>
      <c r="U4" s="569"/>
      <c r="V4" s="572"/>
    </row>
    <row r="5" spans="2:46" ht="15.75" thickBot="1" x14ac:dyDescent="0.3">
      <c r="C5" s="180" t="s">
        <v>0</v>
      </c>
      <c r="D5" s="313" t="s">
        <v>1</v>
      </c>
      <c r="E5" s="313" t="s">
        <v>196</v>
      </c>
      <c r="F5" s="313" t="s">
        <v>2</v>
      </c>
      <c r="G5" s="576" t="s">
        <v>3</v>
      </c>
      <c r="H5" s="576"/>
      <c r="I5" s="576"/>
      <c r="J5" s="577"/>
      <c r="K5" s="321" t="s">
        <v>9</v>
      </c>
      <c r="L5" s="192" t="s">
        <v>10</v>
      </c>
      <c r="M5" s="193" t="s">
        <v>11</v>
      </c>
      <c r="N5" s="573"/>
      <c r="O5" s="574"/>
      <c r="P5" s="574"/>
      <c r="Q5" s="574"/>
      <c r="R5" s="574"/>
      <c r="S5" s="574"/>
      <c r="T5" s="574"/>
      <c r="U5" s="574"/>
      <c r="V5" s="575"/>
    </row>
    <row r="6" spans="2:46" ht="15.75" thickBot="1" x14ac:dyDescent="0.3">
      <c r="B6" s="38" t="str">
        <f>CONCATENATE(MID($C$2,7,1),1)</f>
        <v>E1</v>
      </c>
      <c r="C6" s="408">
        <v>44888</v>
      </c>
      <c r="D6" s="410">
        <v>0.45833333333333331</v>
      </c>
      <c r="E6" s="412" t="s">
        <v>193</v>
      </c>
      <c r="F6" s="174" t="s">
        <v>7</v>
      </c>
      <c r="G6" s="476" t="str">
        <f>Z16</f>
        <v>España</v>
      </c>
      <c r="H6" s="173">
        <f>VLOOKUP($B$6,DB_PARTIDOS!$A$1:$I$65,5)</f>
        <v>2</v>
      </c>
      <c r="I6" s="476" t="str">
        <f>Z19</f>
        <v>Costa Rica</v>
      </c>
      <c r="J6" s="173">
        <f>VLOOKUP($B$6,DB_PARTIDOS!$A$1:$I$65,7)</f>
        <v>0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08" t="s">
        <v>12</v>
      </c>
      <c r="O6" s="123" t="s">
        <v>13</v>
      </c>
      <c r="P6" s="123" t="s">
        <v>14</v>
      </c>
      <c r="Q6" s="123" t="s">
        <v>15</v>
      </c>
      <c r="R6" s="123" t="s">
        <v>16</v>
      </c>
      <c r="S6" s="123" t="s">
        <v>17</v>
      </c>
      <c r="T6" s="123" t="s">
        <v>18</v>
      </c>
      <c r="U6" s="123" t="s">
        <v>19</v>
      </c>
      <c r="V6" s="124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9"/>
      <c r="D7" s="411"/>
      <c r="E7" s="389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388" t="str">
        <f>Z21</f>
        <v>España</v>
      </c>
      <c r="O7" s="389">
        <f t="shared" ref="O7:U7" si="0">AA21</f>
        <v>0</v>
      </c>
      <c r="P7" s="389">
        <f t="shared" si="0"/>
        <v>0</v>
      </c>
      <c r="Q7" s="389">
        <f t="shared" si="0"/>
        <v>0</v>
      </c>
      <c r="R7" s="389">
        <f t="shared" si="0"/>
        <v>0</v>
      </c>
      <c r="S7" s="389">
        <f t="shared" si="0"/>
        <v>0</v>
      </c>
      <c r="T7" s="389">
        <f t="shared" si="0"/>
        <v>0</v>
      </c>
      <c r="U7" s="548">
        <f t="shared" si="0"/>
        <v>0</v>
      </c>
      <c r="V7" s="402">
        <f>AH21</f>
        <v>0</v>
      </c>
      <c r="Z7" s="431" t="str">
        <f>Z16</f>
        <v>España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E2</v>
      </c>
      <c r="C8" s="409">
        <v>44888</v>
      </c>
      <c r="D8" s="411">
        <v>0.33333333333333331</v>
      </c>
      <c r="E8" s="449" t="s">
        <v>200</v>
      </c>
      <c r="F8" s="175" t="s">
        <v>7</v>
      </c>
      <c r="G8" s="477" t="str">
        <f>Z18</f>
        <v>Alemania</v>
      </c>
      <c r="H8" s="114">
        <f>VLOOKUP(B8,DB_PARTIDOS!$A$1:$I$65,5)</f>
        <v>4</v>
      </c>
      <c r="I8" s="477" t="str">
        <f>Z17</f>
        <v>Japón</v>
      </c>
      <c r="J8" s="114">
        <f>VLOOKUP($B$8,DB_PARTIDOS!$A$1:$I$65,7)</f>
        <v>1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388"/>
      <c r="O8" s="389"/>
      <c r="P8" s="389"/>
      <c r="Q8" s="389"/>
      <c r="R8" s="389"/>
      <c r="S8" s="389"/>
      <c r="T8" s="389"/>
      <c r="U8" s="548"/>
      <c r="V8" s="402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9"/>
      <c r="D9" s="411"/>
      <c r="E9" s="449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388" t="str">
        <f>Z22</f>
        <v>Japón</v>
      </c>
      <c r="O9" s="389">
        <f t="shared" ref="O9:V9" si="1">AA22</f>
        <v>0</v>
      </c>
      <c r="P9" s="389">
        <f t="shared" si="1"/>
        <v>0</v>
      </c>
      <c r="Q9" s="389">
        <f t="shared" si="1"/>
        <v>0</v>
      </c>
      <c r="R9" s="389">
        <f t="shared" si="1"/>
        <v>0</v>
      </c>
      <c r="S9" s="389">
        <f t="shared" si="1"/>
        <v>0</v>
      </c>
      <c r="T9" s="389">
        <f t="shared" si="1"/>
        <v>0</v>
      </c>
      <c r="U9" s="548">
        <f t="shared" si="1"/>
        <v>0</v>
      </c>
      <c r="V9" s="402">
        <f t="shared" si="1"/>
        <v>0</v>
      </c>
      <c r="Z9" s="432" t="str">
        <f>Z17</f>
        <v>Japón</v>
      </c>
      <c r="AA9" s="426">
        <f>SUM(IF(AND($H$9&lt;&gt;"",$J$9&lt;&gt;"",$H$9&lt;$J$9),1,0)+IF(AND($H$11&lt;&gt;"",$J$11&lt;&gt;"",$J$11&lt;$H$11),1,0)+IF(AND($H$17&lt;&gt;"",$J$17&lt;&gt;"",$J$17&lt;$H$17),1,0))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SUM(IF(AND($H$9&lt;&gt;"",$J$9&lt;&gt;"",$H$9&gt;$J$9),1,0)+IF(AND($H$11&lt;&gt;"",$J$11&lt;&gt;"",$J$11&gt;$H$11),1,0)+IF(AND($H$17&lt;&gt;"",$J$17&lt;&gt;"",$J$17&gt;H$17),1,0))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E3</v>
      </c>
      <c r="C10" s="409">
        <v>44892</v>
      </c>
      <c r="D10" s="411">
        <v>0.20833333333333334</v>
      </c>
      <c r="E10" s="449" t="s">
        <v>195</v>
      </c>
      <c r="F10" s="175" t="s">
        <v>7</v>
      </c>
      <c r="G10" s="477" t="str">
        <f>Z17</f>
        <v>Japón</v>
      </c>
      <c r="H10" s="114">
        <f>VLOOKUP(B10,DB_PARTIDOS!$A$1:$I$65,5)</f>
        <v>1</v>
      </c>
      <c r="I10" s="477" t="str">
        <f>Z19</f>
        <v>Costa Rica</v>
      </c>
      <c r="J10" s="114">
        <f>VLOOKUP($B$10,DB_PARTIDOS!$A$1:$I$65,7)</f>
        <v>1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388"/>
      <c r="O10" s="389"/>
      <c r="P10" s="389"/>
      <c r="Q10" s="389"/>
      <c r="R10" s="389"/>
      <c r="S10" s="389"/>
      <c r="T10" s="389"/>
      <c r="U10" s="548"/>
      <c r="V10" s="402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9"/>
      <c r="D11" s="411"/>
      <c r="E11" s="449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388" t="str">
        <f>Z23</f>
        <v>Alemania</v>
      </c>
      <c r="O11" s="389">
        <f t="shared" ref="O11:V11" si="2">AA23</f>
        <v>0</v>
      </c>
      <c r="P11" s="389">
        <f t="shared" si="2"/>
        <v>0</v>
      </c>
      <c r="Q11" s="389">
        <f t="shared" si="2"/>
        <v>0</v>
      </c>
      <c r="R11" s="389">
        <f t="shared" si="2"/>
        <v>0</v>
      </c>
      <c r="S11" s="389">
        <f t="shared" si="2"/>
        <v>0</v>
      </c>
      <c r="T11" s="389">
        <f t="shared" si="2"/>
        <v>0</v>
      </c>
      <c r="U11" s="548">
        <f t="shared" si="2"/>
        <v>0</v>
      </c>
      <c r="V11" s="402">
        <f t="shared" si="2"/>
        <v>0</v>
      </c>
      <c r="Z11" s="432" t="str">
        <f>Z18</f>
        <v>Alemania</v>
      </c>
      <c r="AA11" s="426">
        <f>SUM(IF(AND($H$9&lt;&gt;"",$J$9&lt;&gt;"",$J$9&lt;$H$9),1,0)+IF(AND($H$13&lt;&gt;"",$J$13&lt;&gt;"",$H$13&lt;J$13),1,0)+IF(AND($H$15&lt;&gt;"",$J$15&lt;&gt;"",$H$15&lt;$J$15),1,0))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E4</v>
      </c>
      <c r="C12" s="409">
        <v>44892</v>
      </c>
      <c r="D12" s="411">
        <v>0.58333333333333337</v>
      </c>
      <c r="E12" s="389" t="s">
        <v>192</v>
      </c>
      <c r="F12" s="175" t="s">
        <v>7</v>
      </c>
      <c r="G12" s="477" t="str">
        <f>Z16</f>
        <v>España</v>
      </c>
      <c r="H12" s="114">
        <f>VLOOKUP(B12,DB_PARTIDOS!$A$1:$I$65,5)</f>
        <v>1</v>
      </c>
      <c r="I12" s="477" t="str">
        <f>Z18</f>
        <v>Alemania</v>
      </c>
      <c r="J12" s="114">
        <f>VLOOKUP($B$12,DB_PARTIDOS!$A$1:$I$65,7)</f>
        <v>1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388"/>
      <c r="O12" s="389"/>
      <c r="P12" s="389"/>
      <c r="Q12" s="389"/>
      <c r="R12" s="389"/>
      <c r="S12" s="389"/>
      <c r="T12" s="389"/>
      <c r="U12" s="548"/>
      <c r="V12" s="402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9"/>
      <c r="D13" s="411"/>
      <c r="E13" s="389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388" t="str">
        <f>Z24</f>
        <v>Costa Rica</v>
      </c>
      <c r="O13" s="389">
        <f t="shared" ref="O13:V13" si="3">AA24</f>
        <v>0</v>
      </c>
      <c r="P13" s="389">
        <f t="shared" si="3"/>
        <v>0</v>
      </c>
      <c r="Q13" s="389">
        <f t="shared" si="3"/>
        <v>0</v>
      </c>
      <c r="R13" s="389">
        <f t="shared" si="3"/>
        <v>0</v>
      </c>
      <c r="S13" s="389">
        <f t="shared" si="3"/>
        <v>0</v>
      </c>
      <c r="T13" s="389">
        <f t="shared" si="3"/>
        <v>0</v>
      </c>
      <c r="U13" s="548">
        <f t="shared" si="3"/>
        <v>0</v>
      </c>
      <c r="V13" s="402">
        <f t="shared" si="3"/>
        <v>0</v>
      </c>
      <c r="Z13" s="432" t="str">
        <f>Z19</f>
        <v>Costa Rica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E5</v>
      </c>
      <c r="C14" s="409">
        <v>44896</v>
      </c>
      <c r="D14" s="411">
        <v>0.58333333333333337</v>
      </c>
      <c r="E14" s="389" t="s">
        <v>192</v>
      </c>
      <c r="F14" s="175" t="s">
        <v>7</v>
      </c>
      <c r="G14" s="477" t="str">
        <f>Z19</f>
        <v>Costa Rica</v>
      </c>
      <c r="H14" s="114">
        <f>VLOOKUP(B14,DB_PARTIDOS!$A$1:$I$65,5)</f>
        <v>1</v>
      </c>
      <c r="I14" s="477" t="str">
        <f>Z18</f>
        <v>Alemania</v>
      </c>
      <c r="J14" s="114">
        <f>VLOOKUP($B$14,DB_PARTIDOS!$A$1:$I$65,7)</f>
        <v>3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23"/>
      <c r="O14" s="424"/>
      <c r="P14" s="424"/>
      <c r="Q14" s="424"/>
      <c r="R14" s="424"/>
      <c r="S14" s="424"/>
      <c r="T14" s="424"/>
      <c r="U14" s="550"/>
      <c r="V14" s="425"/>
      <c r="Z14" s="433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9"/>
      <c r="D15" s="411"/>
      <c r="E15" s="389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09" t="s">
        <v>26</v>
      </c>
      <c r="O15" s="578" t="s">
        <v>22</v>
      </c>
      <c r="P15" s="578"/>
      <c r="Q15" s="578"/>
      <c r="R15" s="578"/>
      <c r="S15" s="578" t="s">
        <v>23</v>
      </c>
      <c r="T15" s="578"/>
      <c r="U15" s="578"/>
      <c r="V15" s="135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E6</v>
      </c>
      <c r="C16" s="409">
        <v>44896</v>
      </c>
      <c r="D16" s="411">
        <v>0.58333333333333337</v>
      </c>
      <c r="E16" s="449" t="s">
        <v>200</v>
      </c>
      <c r="F16" s="175" t="s">
        <v>7</v>
      </c>
      <c r="G16" s="477" t="str">
        <f>Z17</f>
        <v>Japón</v>
      </c>
      <c r="H16" s="114">
        <f>VLOOKUP(B16,DB_PARTIDOS!$A$1:$I$65,5)</f>
        <v>1</v>
      </c>
      <c r="I16" s="477" t="str">
        <f>Z16</f>
        <v>España</v>
      </c>
      <c r="J16" s="114">
        <f>VLOOKUP($B$16,DB_PARTIDOS!$A$1:$I$65,7)</f>
        <v>3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Alemania</v>
      </c>
      <c r="P16" s="384"/>
      <c r="Q16" s="384"/>
      <c r="R16" s="384"/>
      <c r="S16" s="419" t="str">
        <f>N7</f>
        <v>España</v>
      </c>
      <c r="T16" s="419"/>
      <c r="U16" s="419"/>
      <c r="V16" s="218">
        <f>IF(OR(O16=S16,O16=S17),AC28,0)+IF(O16=S16,2,0)</f>
        <v>0</v>
      </c>
      <c r="X16" s="38" t="str">
        <f>CONCATENATE(MID($C$2,7,1),N16)</f>
        <v>E1</v>
      </c>
      <c r="Z16" s="61" t="s">
        <v>102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6"/>
      <c r="D17" s="447"/>
      <c r="E17" s="494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España</v>
      </c>
      <c r="P17" s="385"/>
      <c r="Q17" s="385"/>
      <c r="R17" s="385"/>
      <c r="S17" s="420" t="str">
        <f>N9</f>
        <v>Japón</v>
      </c>
      <c r="T17" s="420"/>
      <c r="U17" s="420"/>
      <c r="V17" s="219">
        <f>IF(OR(O17=S17,O17=S16),AC28,0)+IF(O17=S17,2,0)</f>
        <v>2</v>
      </c>
      <c r="X17" s="38" t="str">
        <f>CONCATENATE(MID($C$2,7,1),N17)</f>
        <v>E2</v>
      </c>
      <c r="Z17" s="68" t="s">
        <v>154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110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105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579" t="s">
        <v>88</v>
      </c>
      <c r="K21" s="580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España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60" t="s">
        <v>57</v>
      </c>
      <c r="D22" s="168" t="s">
        <v>26</v>
      </c>
      <c r="E22" s="28"/>
      <c r="F22" s="28"/>
      <c r="G22" s="28"/>
      <c r="H22" s="28"/>
      <c r="I22" s="28"/>
      <c r="J22" s="581"/>
      <c r="K22" s="582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Japón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España</v>
      </c>
      <c r="D23" s="140">
        <v>1</v>
      </c>
      <c r="E23" s="28"/>
      <c r="F23" s="28"/>
      <c r="G23" s="28"/>
      <c r="H23" s="28"/>
      <c r="I23" s="28"/>
      <c r="J23" s="583"/>
      <c r="K23" s="584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Alemania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Japón</v>
      </c>
      <c r="D24" s="30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Costa Rica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Alemania</v>
      </c>
      <c r="D25" s="30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Costa Rica</v>
      </c>
      <c r="D26" s="31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54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54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54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54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54"/>
    </row>
    <row r="33" spans="5:15" x14ac:dyDescent="0.25">
      <c r="E33" s="54"/>
      <c r="F33" s="103"/>
      <c r="G33" s="104"/>
      <c r="H33" s="26"/>
      <c r="I33" s="105"/>
      <c r="J33" s="26"/>
      <c r="K33" s="105"/>
      <c r="L33" s="26"/>
      <c r="M33" s="105"/>
      <c r="N33" s="105"/>
      <c r="O33" s="54"/>
    </row>
    <row r="34" spans="5:15" x14ac:dyDescent="0.25">
      <c r="E34" s="54"/>
      <c r="F34" s="54"/>
      <c r="G34" s="54"/>
      <c r="H34" s="105"/>
      <c r="I34" s="105"/>
      <c r="J34" s="105"/>
      <c r="K34" s="105"/>
      <c r="L34" s="105"/>
      <c r="M34" s="105"/>
      <c r="N34" s="105"/>
      <c r="O34" s="54"/>
    </row>
    <row r="35" spans="5:15" x14ac:dyDescent="0.25">
      <c r="H35" s="92"/>
      <c r="I35" s="92"/>
      <c r="J35" s="92"/>
      <c r="K35" s="92"/>
      <c r="L35" s="92"/>
      <c r="M35" s="92"/>
      <c r="N35" s="92"/>
    </row>
    <row r="36" spans="5:15" x14ac:dyDescent="0.25">
      <c r="H36" s="92"/>
      <c r="I36" s="92"/>
      <c r="J36" s="92"/>
      <c r="K36" s="92"/>
      <c r="L36" s="92"/>
      <c r="M36" s="92"/>
      <c r="N36" s="92"/>
    </row>
    <row r="37" spans="5:15" x14ac:dyDescent="0.25">
      <c r="H37" s="92"/>
      <c r="I37" s="92"/>
      <c r="J37" s="92"/>
      <c r="K37" s="92"/>
      <c r="L37" s="92"/>
      <c r="M37" s="92"/>
      <c r="N37" s="92"/>
    </row>
    <row r="38" spans="5:15" x14ac:dyDescent="0.25">
      <c r="H38" s="92"/>
      <c r="I38" s="92"/>
      <c r="J38" s="92"/>
      <c r="K38" s="92"/>
      <c r="L38" s="92"/>
      <c r="M38" s="92"/>
      <c r="N38" s="92"/>
    </row>
    <row r="39" spans="5:15" x14ac:dyDescent="0.25">
      <c r="H39" s="92"/>
      <c r="I39" s="92"/>
      <c r="J39" s="92"/>
      <c r="K39" s="92"/>
      <c r="L39" s="92"/>
      <c r="M39" s="92"/>
      <c r="N39" s="92"/>
    </row>
    <row r="40" spans="5:15" x14ac:dyDescent="0.25">
      <c r="H40" s="92"/>
      <c r="I40" s="92"/>
      <c r="J40" s="92"/>
      <c r="K40" s="92"/>
      <c r="L40" s="92"/>
      <c r="M40" s="92"/>
      <c r="N40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6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48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42578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585" t="s">
        <v>84</v>
      </c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7"/>
    </row>
    <row r="3" spans="2:46" ht="15.75" customHeight="1" thickBot="1" x14ac:dyDescent="0.3">
      <c r="C3" s="588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90"/>
    </row>
    <row r="4" spans="2:46" x14ac:dyDescent="0.25">
      <c r="C4" s="591" t="s">
        <v>28</v>
      </c>
      <c r="D4" s="592"/>
      <c r="E4" s="592"/>
      <c r="F4" s="592"/>
      <c r="G4" s="592"/>
      <c r="H4" s="592"/>
      <c r="I4" s="592"/>
      <c r="J4" s="593"/>
      <c r="K4" s="594" t="s">
        <v>24</v>
      </c>
      <c r="L4" s="595"/>
      <c r="M4" s="596"/>
      <c r="N4" s="597" t="s">
        <v>21</v>
      </c>
      <c r="O4" s="595"/>
      <c r="P4" s="595"/>
      <c r="Q4" s="595"/>
      <c r="R4" s="595"/>
      <c r="S4" s="595"/>
      <c r="T4" s="595"/>
      <c r="U4" s="595"/>
      <c r="V4" s="598"/>
    </row>
    <row r="5" spans="2:46" ht="15.75" thickBot="1" x14ac:dyDescent="0.3">
      <c r="C5" s="179" t="s">
        <v>0</v>
      </c>
      <c r="D5" s="314" t="s">
        <v>1</v>
      </c>
      <c r="E5" s="314" t="s">
        <v>196</v>
      </c>
      <c r="F5" s="314" t="s">
        <v>2</v>
      </c>
      <c r="G5" s="602" t="s">
        <v>3</v>
      </c>
      <c r="H5" s="602"/>
      <c r="I5" s="602"/>
      <c r="J5" s="603"/>
      <c r="K5" s="320" t="s">
        <v>9</v>
      </c>
      <c r="L5" s="190" t="s">
        <v>10</v>
      </c>
      <c r="M5" s="191" t="s">
        <v>11</v>
      </c>
      <c r="N5" s="599"/>
      <c r="O5" s="600"/>
      <c r="P5" s="600"/>
      <c r="Q5" s="600"/>
      <c r="R5" s="600"/>
      <c r="S5" s="600"/>
      <c r="T5" s="600"/>
      <c r="U5" s="600"/>
      <c r="V5" s="601"/>
    </row>
    <row r="6" spans="2:46" ht="15.75" customHeight="1" thickBot="1" x14ac:dyDescent="0.3">
      <c r="B6" s="38" t="str">
        <f>CONCATENATE(MID($C$2,7,1),1)</f>
        <v>F1</v>
      </c>
      <c r="C6" s="408">
        <v>44888</v>
      </c>
      <c r="D6" s="410">
        <v>0.58333333333333337</v>
      </c>
      <c r="E6" s="604" t="s">
        <v>195</v>
      </c>
      <c r="F6" s="174" t="s">
        <v>7</v>
      </c>
      <c r="G6" s="476" t="str">
        <f>Z16</f>
        <v>Bélgica</v>
      </c>
      <c r="H6" s="173">
        <f>VLOOKUP($B$6,DB_PARTIDOS!$A$1:$I$65,5)</f>
        <v>3</v>
      </c>
      <c r="I6" s="476" t="str">
        <f>Z19</f>
        <v>Canadá</v>
      </c>
      <c r="J6" s="173">
        <f>VLOOKUP($B$6,DB_PARTIDOS!$A$1:$I$65,7)</f>
        <v>1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06" t="s">
        <v>12</v>
      </c>
      <c r="O6" s="121" t="s">
        <v>13</v>
      </c>
      <c r="P6" s="121" t="s">
        <v>14</v>
      </c>
      <c r="Q6" s="121" t="s">
        <v>15</v>
      </c>
      <c r="R6" s="121" t="s">
        <v>16</v>
      </c>
      <c r="S6" s="121" t="s">
        <v>17</v>
      </c>
      <c r="T6" s="121" t="s">
        <v>18</v>
      </c>
      <c r="U6" s="121" t="s">
        <v>19</v>
      </c>
      <c r="V6" s="122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9"/>
      <c r="D7" s="411"/>
      <c r="E7" s="449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478" t="str">
        <f>Z21</f>
        <v>Bélgica</v>
      </c>
      <c r="O7" s="450">
        <f t="shared" ref="O7:U7" si="0">AA21</f>
        <v>0</v>
      </c>
      <c r="P7" s="450">
        <f t="shared" si="0"/>
        <v>0</v>
      </c>
      <c r="Q7" s="450">
        <f t="shared" si="0"/>
        <v>0</v>
      </c>
      <c r="R7" s="450">
        <f t="shared" si="0"/>
        <v>0</v>
      </c>
      <c r="S7" s="450">
        <f t="shared" si="0"/>
        <v>0</v>
      </c>
      <c r="T7" s="450">
        <f t="shared" si="0"/>
        <v>0</v>
      </c>
      <c r="U7" s="605">
        <f t="shared" si="0"/>
        <v>0</v>
      </c>
      <c r="V7" s="481">
        <f>AH21</f>
        <v>0</v>
      </c>
      <c r="Z7" s="431" t="str">
        <f>Z16</f>
        <v>Bélgica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F2</v>
      </c>
      <c r="C8" s="409">
        <v>44888</v>
      </c>
      <c r="D8" s="411">
        <v>0.20833333333333334</v>
      </c>
      <c r="E8" s="389" t="s">
        <v>192</v>
      </c>
      <c r="F8" s="175" t="s">
        <v>7</v>
      </c>
      <c r="G8" s="477" t="str">
        <f>Z18</f>
        <v>Marruecos</v>
      </c>
      <c r="H8" s="114">
        <f>VLOOKUP(B8,DB_PARTIDOS!$A$1:$I$65,5)</f>
        <v>0</v>
      </c>
      <c r="I8" s="477" t="str">
        <f>Z17</f>
        <v>Croacia</v>
      </c>
      <c r="J8" s="114">
        <f>VLOOKUP($B$8,DB_PARTIDOS!$A$1:$I$65,7)</f>
        <v>2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478"/>
      <c r="O8" s="450"/>
      <c r="P8" s="450"/>
      <c r="Q8" s="450"/>
      <c r="R8" s="450"/>
      <c r="S8" s="450"/>
      <c r="T8" s="450"/>
      <c r="U8" s="605"/>
      <c r="V8" s="481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9"/>
      <c r="D9" s="411"/>
      <c r="E9" s="389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478" t="str">
        <f>Z22</f>
        <v>Croacia</v>
      </c>
      <c r="O9" s="450">
        <f t="shared" ref="O9:V9" si="1">AA22</f>
        <v>0</v>
      </c>
      <c r="P9" s="450">
        <f t="shared" si="1"/>
        <v>0</v>
      </c>
      <c r="Q9" s="450">
        <f t="shared" si="1"/>
        <v>0</v>
      </c>
      <c r="R9" s="450">
        <f t="shared" si="1"/>
        <v>0</v>
      </c>
      <c r="S9" s="450">
        <f t="shared" si="1"/>
        <v>0</v>
      </c>
      <c r="T9" s="450">
        <f t="shared" si="1"/>
        <v>0</v>
      </c>
      <c r="U9" s="605">
        <f t="shared" si="1"/>
        <v>0</v>
      </c>
      <c r="V9" s="481">
        <f t="shared" si="1"/>
        <v>0</v>
      </c>
      <c r="Z9" s="432" t="str">
        <f>Z17</f>
        <v>Croacia</v>
      </c>
      <c r="AA9" s="426">
        <f>SUM(IF(AND($H$9&lt;&gt;"",$J$9&lt;&gt;"",$H$9&lt;$J$9),1,0)+IF(AND($H$11&lt;&gt;"",$J$11&lt;&gt;"",$J$11&lt;$H$11),1,0)+IF(AND($H$17&lt;&gt;"",$J$17&lt;&gt;"",$J$17&lt;$H$17),1,0))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SUM(IF(AND($H$9&lt;&gt;"",$J$9&lt;&gt;"",$H$9&gt;$J$9),1,0)+IF(AND($H$11&lt;&gt;"",$J$11&lt;&gt;"",$J$11&gt;$H$11),1,0)+IF(AND($H$17&lt;&gt;"",$J$17&lt;&gt;"",$J$17&gt;H$17),1,0))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F3</v>
      </c>
      <c r="C10" s="409">
        <v>44892</v>
      </c>
      <c r="D10" s="411">
        <v>0.45833333333333331</v>
      </c>
      <c r="E10" s="449" t="s">
        <v>200</v>
      </c>
      <c r="F10" s="175" t="s">
        <v>7</v>
      </c>
      <c r="G10" s="477" t="str">
        <f>Z17</f>
        <v>Croacia</v>
      </c>
      <c r="H10" s="114">
        <f>VLOOKUP(B10,DB_PARTIDOS!$A$1:$I$65,5)</f>
        <v>2</v>
      </c>
      <c r="I10" s="477" t="str">
        <f>Z19</f>
        <v>Canadá</v>
      </c>
      <c r="J10" s="114">
        <f>VLOOKUP($B$10,DB_PARTIDOS!$A$1:$I$65,7)</f>
        <v>1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478"/>
      <c r="O10" s="450"/>
      <c r="P10" s="450"/>
      <c r="Q10" s="450"/>
      <c r="R10" s="450"/>
      <c r="S10" s="450"/>
      <c r="T10" s="450"/>
      <c r="U10" s="605"/>
      <c r="V10" s="481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9"/>
      <c r="D11" s="411"/>
      <c r="E11" s="449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478" t="str">
        <f>Z23</f>
        <v>Marruecos</v>
      </c>
      <c r="O11" s="450">
        <f t="shared" ref="O11:V11" si="2">AA23</f>
        <v>0</v>
      </c>
      <c r="P11" s="450">
        <f t="shared" si="2"/>
        <v>0</v>
      </c>
      <c r="Q11" s="450">
        <f t="shared" si="2"/>
        <v>0</v>
      </c>
      <c r="R11" s="450">
        <f t="shared" si="2"/>
        <v>0</v>
      </c>
      <c r="S11" s="450">
        <f t="shared" si="2"/>
        <v>0</v>
      </c>
      <c r="T11" s="450">
        <f t="shared" si="2"/>
        <v>0</v>
      </c>
      <c r="U11" s="605">
        <f t="shared" si="2"/>
        <v>0</v>
      </c>
      <c r="V11" s="481">
        <f t="shared" si="2"/>
        <v>0</v>
      </c>
      <c r="Z11" s="432" t="str">
        <f>Z18</f>
        <v>Marruecos</v>
      </c>
      <c r="AA11" s="426">
        <f>SUM(IF(AND($H$9&lt;&gt;"",$J$9&lt;&gt;"",$J$9&lt;$H$9),1,0)+IF(AND($H$13&lt;&gt;"",$J$13&lt;&gt;"",$H$13&lt;J$13),1,0)+IF(AND($H$15&lt;&gt;"",$J$15&lt;&gt;"",$H$15&lt;$J$15),1,0))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F4</v>
      </c>
      <c r="C12" s="409">
        <v>44892</v>
      </c>
      <c r="D12" s="411">
        <v>0.33333333333333331</v>
      </c>
      <c r="E12" s="389" t="s">
        <v>193</v>
      </c>
      <c r="F12" s="175" t="s">
        <v>7</v>
      </c>
      <c r="G12" s="477" t="str">
        <f>Z16</f>
        <v>Bélgica</v>
      </c>
      <c r="H12" s="114">
        <f>VLOOKUP(B12,DB_PARTIDOS!$A$1:$I$65,5)</f>
        <v>3</v>
      </c>
      <c r="I12" s="477" t="str">
        <f>Z18</f>
        <v>Marruecos</v>
      </c>
      <c r="J12" s="114">
        <f>VLOOKUP($B$12,DB_PARTIDOS!$A$1:$I$65,7)</f>
        <v>0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478"/>
      <c r="O12" s="450"/>
      <c r="P12" s="450"/>
      <c r="Q12" s="450"/>
      <c r="R12" s="450"/>
      <c r="S12" s="450"/>
      <c r="T12" s="450"/>
      <c r="U12" s="605"/>
      <c r="V12" s="481"/>
      <c r="Z12" s="433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9"/>
      <c r="D13" s="411"/>
      <c r="E13" s="389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478" t="str">
        <f>Z24</f>
        <v>Canadá</v>
      </c>
      <c r="O13" s="450">
        <f t="shared" ref="O13:V13" si="3">AA24</f>
        <v>0</v>
      </c>
      <c r="P13" s="450">
        <f t="shared" si="3"/>
        <v>0</v>
      </c>
      <c r="Q13" s="450">
        <f t="shared" si="3"/>
        <v>0</v>
      </c>
      <c r="R13" s="450">
        <f t="shared" si="3"/>
        <v>0</v>
      </c>
      <c r="S13" s="450">
        <f t="shared" si="3"/>
        <v>0</v>
      </c>
      <c r="T13" s="450">
        <f t="shared" si="3"/>
        <v>0</v>
      </c>
      <c r="U13" s="605">
        <f t="shared" si="3"/>
        <v>0</v>
      </c>
      <c r="V13" s="481">
        <f t="shared" si="3"/>
        <v>0</v>
      </c>
      <c r="Z13" s="432" t="str">
        <f>Z19</f>
        <v>Canadá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F5</v>
      </c>
      <c r="C14" s="409">
        <v>44896</v>
      </c>
      <c r="D14" s="411">
        <v>0.41666666666666669</v>
      </c>
      <c r="E14" s="389" t="s">
        <v>193</v>
      </c>
      <c r="F14" s="175" t="s">
        <v>7</v>
      </c>
      <c r="G14" s="477" t="str">
        <f>Z19</f>
        <v>Canadá</v>
      </c>
      <c r="H14" s="114">
        <f>VLOOKUP(B14,DB_PARTIDOS!$A$1:$I$65,5)</f>
        <v>1</v>
      </c>
      <c r="I14" s="477" t="str">
        <f>Z18</f>
        <v>Marruecos</v>
      </c>
      <c r="J14" s="114">
        <f>VLOOKUP($B$14,DB_PARTIDOS!$A$1:$I$65,7)</f>
        <v>0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86"/>
      <c r="O14" s="482"/>
      <c r="P14" s="482"/>
      <c r="Q14" s="482"/>
      <c r="R14" s="482"/>
      <c r="S14" s="482"/>
      <c r="T14" s="482"/>
      <c r="U14" s="607"/>
      <c r="V14" s="485"/>
      <c r="Z14" s="433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9"/>
      <c r="D15" s="411"/>
      <c r="E15" s="389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07" t="s">
        <v>26</v>
      </c>
      <c r="O15" s="606" t="s">
        <v>22</v>
      </c>
      <c r="P15" s="606"/>
      <c r="Q15" s="606"/>
      <c r="R15" s="606"/>
      <c r="S15" s="606" t="s">
        <v>23</v>
      </c>
      <c r="T15" s="606"/>
      <c r="U15" s="606"/>
      <c r="V15" s="134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F6</v>
      </c>
      <c r="C16" s="409">
        <v>44896</v>
      </c>
      <c r="D16" s="411">
        <v>0.41666666666666669</v>
      </c>
      <c r="E16" s="449" t="s">
        <v>195</v>
      </c>
      <c r="F16" s="175" t="s">
        <v>7</v>
      </c>
      <c r="G16" s="477" t="str">
        <f>Z17</f>
        <v>Croacia</v>
      </c>
      <c r="H16" s="114">
        <f>VLOOKUP(B16,DB_PARTIDOS!$A$1:$I$65,5)</f>
        <v>1</v>
      </c>
      <c r="I16" s="477" t="str">
        <f>Z16</f>
        <v>Bélgica</v>
      </c>
      <c r="J16" s="114">
        <f>VLOOKUP($B$16,DB_PARTIDOS!$A$1:$I$65,7)</f>
        <v>2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Bélgica</v>
      </c>
      <c r="P16" s="384"/>
      <c r="Q16" s="384"/>
      <c r="R16" s="384"/>
      <c r="S16" s="419" t="str">
        <f>N7</f>
        <v>Bélgica</v>
      </c>
      <c r="T16" s="419"/>
      <c r="U16" s="419"/>
      <c r="V16" s="218">
        <f>IF(OR(O16=S16,O16=S17),AC28,0)+IF(O16=S16,2,0)</f>
        <v>4</v>
      </c>
      <c r="X16" s="38" t="str">
        <f>CONCATENATE(MID($C$2,7,1),N16)</f>
        <v>F1</v>
      </c>
      <c r="Z16" s="61" t="s">
        <v>151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6"/>
      <c r="D17" s="447"/>
      <c r="E17" s="494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Croacia</v>
      </c>
      <c r="P17" s="385"/>
      <c r="Q17" s="385"/>
      <c r="R17" s="385"/>
      <c r="S17" s="420" t="str">
        <f>N9</f>
        <v>Croacia</v>
      </c>
      <c r="T17" s="420"/>
      <c r="U17" s="420"/>
      <c r="V17" s="219">
        <f>IF(OR(O17=S17,O17=S16),AC28,0)+IF(O17=S17,2,0)</f>
        <v>4</v>
      </c>
      <c r="X17" s="38" t="str">
        <f>CONCATENATE(MID($C$2,7,1),N17)</f>
        <v>F2</v>
      </c>
      <c r="Z17" s="68" t="s">
        <v>5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147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189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608" t="s">
        <v>85</v>
      </c>
      <c r="K21" s="609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Bélgica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9" t="s">
        <v>57</v>
      </c>
      <c r="D22" s="167" t="s">
        <v>26</v>
      </c>
      <c r="E22" s="28"/>
      <c r="F22" s="28"/>
      <c r="G22" s="28"/>
      <c r="H22" s="28"/>
      <c r="I22" s="28"/>
      <c r="J22" s="610"/>
      <c r="K22" s="611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Croacia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Bélgica</v>
      </c>
      <c r="D23" s="139">
        <v>1</v>
      </c>
      <c r="E23" s="28"/>
      <c r="F23" s="28"/>
      <c r="G23" s="28"/>
      <c r="H23" s="28"/>
      <c r="I23" s="28"/>
      <c r="J23" s="612"/>
      <c r="K23" s="613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Marruecos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Croacia</v>
      </c>
      <c r="D24" s="106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Canadá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Marruecos</v>
      </c>
      <c r="D25" s="106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Canadá</v>
      </c>
      <c r="D26" s="10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105"/>
      <c r="F28" s="103"/>
      <c r="G28" s="104"/>
      <c r="H28" s="26"/>
      <c r="I28" s="105"/>
      <c r="J28" s="26"/>
      <c r="K28" s="105"/>
      <c r="L28" s="26"/>
      <c r="M28" s="105"/>
      <c r="N28" s="105"/>
      <c r="O28" s="105"/>
      <c r="P28" s="54"/>
      <c r="AA28" s="69">
        <v>2</v>
      </c>
      <c r="AB28" s="69">
        <v>2</v>
      </c>
      <c r="AC28" s="69">
        <v>2</v>
      </c>
    </row>
    <row r="29" spans="3:45" x14ac:dyDescent="0.25">
      <c r="D29" s="92"/>
      <c r="E29" s="105"/>
      <c r="F29" s="103"/>
      <c r="G29" s="104"/>
      <c r="H29" s="26"/>
      <c r="I29" s="105"/>
      <c r="J29" s="26"/>
      <c r="K29" s="105"/>
      <c r="L29" s="26"/>
      <c r="M29" s="105"/>
      <c r="N29" s="105"/>
      <c r="O29" s="105"/>
      <c r="P29" s="54"/>
    </row>
    <row r="30" spans="3:45" x14ac:dyDescent="0.25">
      <c r="D30" s="92"/>
      <c r="E30" s="105"/>
      <c r="F30" s="103"/>
      <c r="G30" s="104"/>
      <c r="H30" s="26"/>
      <c r="I30" s="105"/>
      <c r="J30" s="26"/>
      <c r="K30" s="105"/>
      <c r="L30" s="26"/>
      <c r="M30" s="105"/>
      <c r="N30" s="105"/>
      <c r="O30" s="105"/>
      <c r="P30" s="54"/>
    </row>
    <row r="31" spans="3:45" x14ac:dyDescent="0.25">
      <c r="D31" s="92"/>
      <c r="E31" s="105"/>
      <c r="F31" s="103"/>
      <c r="G31" s="104"/>
      <c r="H31" s="26"/>
      <c r="I31" s="105"/>
      <c r="J31" s="26"/>
      <c r="K31" s="105"/>
      <c r="L31" s="26"/>
      <c r="M31" s="105"/>
      <c r="N31" s="105"/>
      <c r="O31" s="105"/>
      <c r="P31" s="54"/>
    </row>
    <row r="32" spans="3:45" x14ac:dyDescent="0.25">
      <c r="D32" s="92"/>
      <c r="E32" s="105"/>
      <c r="F32" s="103"/>
      <c r="G32" s="104"/>
      <c r="H32" s="26"/>
      <c r="I32" s="105"/>
      <c r="J32" s="26"/>
      <c r="K32" s="105"/>
      <c r="L32" s="26"/>
      <c r="M32" s="105"/>
      <c r="N32" s="105"/>
      <c r="O32" s="105"/>
      <c r="P32" s="54"/>
    </row>
    <row r="33" spans="4:16" x14ac:dyDescent="0.25">
      <c r="D33" s="92"/>
      <c r="E33" s="105"/>
      <c r="F33" s="103"/>
      <c r="G33" s="104"/>
      <c r="H33" s="26"/>
      <c r="I33" s="105"/>
      <c r="J33" s="26"/>
      <c r="K33" s="105"/>
      <c r="L33" s="26"/>
      <c r="M33" s="105"/>
      <c r="N33" s="105"/>
      <c r="O33" s="105"/>
      <c r="P33" s="54"/>
    </row>
    <row r="34" spans="4:16" x14ac:dyDescent="0.25">
      <c r="D34" s="92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54"/>
    </row>
    <row r="35" spans="4:16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4:16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</row>
    <row r="37" spans="4:16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4:16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</row>
    <row r="39" spans="4:16" x14ac:dyDescent="0.25">
      <c r="I39" s="92"/>
      <c r="J39" s="92"/>
      <c r="K39" s="92"/>
      <c r="L39" s="92"/>
      <c r="M39" s="92"/>
      <c r="N39" s="92"/>
      <c r="O39" s="92"/>
    </row>
    <row r="40" spans="4:16" x14ac:dyDescent="0.25">
      <c r="I40" s="92"/>
      <c r="J40" s="92"/>
      <c r="K40" s="92"/>
      <c r="L40" s="92"/>
      <c r="M40" s="92"/>
      <c r="N40" s="92"/>
      <c r="O40" s="92"/>
    </row>
    <row r="41" spans="4:16" x14ac:dyDescent="0.25">
      <c r="I41" s="92"/>
      <c r="J41" s="92"/>
      <c r="K41" s="92"/>
      <c r="L41" s="92"/>
      <c r="M41" s="92"/>
      <c r="N41" s="92"/>
      <c r="O41" s="92"/>
    </row>
    <row r="42" spans="4:16" x14ac:dyDescent="0.25">
      <c r="I42" s="92"/>
      <c r="J42" s="92"/>
      <c r="K42" s="92"/>
      <c r="L42" s="92"/>
      <c r="M42" s="92"/>
      <c r="N42" s="92"/>
      <c r="O42" s="92"/>
    </row>
    <row r="43" spans="4:16" x14ac:dyDescent="0.25">
      <c r="I43" s="92"/>
      <c r="J43" s="92"/>
      <c r="K43" s="92"/>
      <c r="L43" s="92"/>
      <c r="M43" s="92"/>
      <c r="N43" s="92"/>
      <c r="O43" s="92"/>
    </row>
    <row r="44" spans="4:16" x14ac:dyDescent="0.25">
      <c r="I44" s="92"/>
      <c r="J44" s="92"/>
      <c r="K44" s="92"/>
      <c r="L44" s="92"/>
      <c r="M44" s="92"/>
      <c r="N44" s="92"/>
      <c r="O44" s="92"/>
    </row>
    <row r="45" spans="4:16" x14ac:dyDescent="0.25">
      <c r="I45" s="92"/>
      <c r="J45" s="92"/>
      <c r="K45" s="92"/>
      <c r="L45" s="92"/>
      <c r="M45" s="92"/>
      <c r="N45" s="92"/>
      <c r="O45" s="92"/>
    </row>
    <row r="46" spans="4:16" x14ac:dyDescent="0.25">
      <c r="I46" s="92"/>
      <c r="J46" s="92"/>
      <c r="K46" s="92"/>
      <c r="L46" s="92"/>
      <c r="M46" s="92"/>
      <c r="N46" s="92"/>
      <c r="O46" s="92"/>
    </row>
    <row r="47" spans="4:16" x14ac:dyDescent="0.25">
      <c r="I47" s="92"/>
      <c r="J47" s="92"/>
      <c r="K47" s="92"/>
      <c r="L47" s="92"/>
      <c r="M47" s="92"/>
      <c r="N47" s="92"/>
      <c r="O47" s="92"/>
    </row>
    <row r="48" spans="4:16" x14ac:dyDescent="0.25">
      <c r="I48" s="92"/>
      <c r="J48" s="92"/>
      <c r="K48" s="92"/>
      <c r="L48" s="92"/>
      <c r="M48" s="92"/>
      <c r="N48" s="92"/>
      <c r="O4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8:I33">
    <cfRule type="cellIs" dxfId="5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51"/>
  <sheetViews>
    <sheetView showGridLines="0" zoomScale="80" zoomScaleNormal="80" workbookViewId="0">
      <selection activeCell="X27" sqref="X27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5" width="15.85546875" style="38" customWidth="1"/>
    <col min="6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14" t="s">
        <v>86</v>
      </c>
      <c r="D2" s="615"/>
      <c r="E2" s="615"/>
      <c r="F2" s="615"/>
      <c r="G2" s="615"/>
      <c r="H2" s="615"/>
      <c r="I2" s="615"/>
      <c r="J2" s="615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6"/>
    </row>
    <row r="3" spans="2:46" ht="15.75" customHeight="1" thickBot="1" x14ac:dyDescent="0.3">
      <c r="C3" s="617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9"/>
    </row>
    <row r="4" spans="2:46" x14ac:dyDescent="0.25">
      <c r="C4" s="620" t="s">
        <v>28</v>
      </c>
      <c r="D4" s="621"/>
      <c r="E4" s="621"/>
      <c r="F4" s="621"/>
      <c r="G4" s="621"/>
      <c r="H4" s="621"/>
      <c r="I4" s="621"/>
      <c r="J4" s="622"/>
      <c r="K4" s="623" t="s">
        <v>24</v>
      </c>
      <c r="L4" s="624"/>
      <c r="M4" s="625"/>
      <c r="N4" s="626" t="s">
        <v>21</v>
      </c>
      <c r="O4" s="624"/>
      <c r="P4" s="624"/>
      <c r="Q4" s="624"/>
      <c r="R4" s="624"/>
      <c r="S4" s="624"/>
      <c r="T4" s="624"/>
      <c r="U4" s="624"/>
      <c r="V4" s="627"/>
    </row>
    <row r="5" spans="2:46" ht="15.75" thickBot="1" x14ac:dyDescent="0.3">
      <c r="C5" s="178" t="s">
        <v>0</v>
      </c>
      <c r="D5" s="315" t="s">
        <v>1</v>
      </c>
      <c r="E5" s="315" t="s">
        <v>196</v>
      </c>
      <c r="F5" s="315" t="s">
        <v>2</v>
      </c>
      <c r="G5" s="631" t="s">
        <v>3</v>
      </c>
      <c r="H5" s="631"/>
      <c r="I5" s="631"/>
      <c r="J5" s="632"/>
      <c r="K5" s="319" t="s">
        <v>9</v>
      </c>
      <c r="L5" s="188" t="s">
        <v>10</v>
      </c>
      <c r="M5" s="189" t="s">
        <v>11</v>
      </c>
      <c r="N5" s="628"/>
      <c r="O5" s="629"/>
      <c r="P5" s="629"/>
      <c r="Q5" s="629"/>
      <c r="R5" s="629"/>
      <c r="S5" s="629"/>
      <c r="T5" s="629"/>
      <c r="U5" s="629"/>
      <c r="V5" s="630"/>
    </row>
    <row r="6" spans="2:46" ht="15.75" thickBot="1" x14ac:dyDescent="0.3">
      <c r="B6" s="38" t="str">
        <f>CONCATENATE(MID($C$2,7,1),1)</f>
        <v>G1</v>
      </c>
      <c r="C6" s="408">
        <v>44889</v>
      </c>
      <c r="D6" s="410">
        <v>0.58333333333333337</v>
      </c>
      <c r="E6" s="412" t="s">
        <v>198</v>
      </c>
      <c r="F6" s="174" t="s">
        <v>7</v>
      </c>
      <c r="G6" s="476" t="str">
        <f>Z16</f>
        <v>Brasil</v>
      </c>
      <c r="H6" s="173">
        <f>VLOOKUP($B$6,DB_PARTIDOS!$A$1:$I$65,5)</f>
        <v>4</v>
      </c>
      <c r="I6" s="476" t="str">
        <f>Z19</f>
        <v>Serbia</v>
      </c>
      <c r="J6" s="173">
        <f>VLOOKUP($B$6,DB_PARTIDOS!$A$1:$I$65,7)</f>
        <v>1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04" t="s">
        <v>12</v>
      </c>
      <c r="O6" s="119" t="s">
        <v>13</v>
      </c>
      <c r="P6" s="119" t="s">
        <v>14</v>
      </c>
      <c r="Q6" s="119" t="s">
        <v>15</v>
      </c>
      <c r="R6" s="119" t="s">
        <v>16</v>
      </c>
      <c r="S6" s="119" t="s">
        <v>17</v>
      </c>
      <c r="T6" s="119" t="s">
        <v>18</v>
      </c>
      <c r="U6" s="119" t="s">
        <v>19</v>
      </c>
      <c r="V6" s="120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9"/>
      <c r="D7" s="411"/>
      <c r="E7" s="389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478" t="str">
        <f>Z21</f>
        <v>Brasil</v>
      </c>
      <c r="O7" s="450">
        <f t="shared" ref="O7:U7" si="0">AA21</f>
        <v>0</v>
      </c>
      <c r="P7" s="450">
        <f t="shared" si="0"/>
        <v>0</v>
      </c>
      <c r="Q7" s="450">
        <f t="shared" si="0"/>
        <v>0</v>
      </c>
      <c r="R7" s="450">
        <f t="shared" si="0"/>
        <v>0</v>
      </c>
      <c r="S7" s="450">
        <f t="shared" si="0"/>
        <v>0</v>
      </c>
      <c r="T7" s="450">
        <f t="shared" si="0"/>
        <v>0</v>
      </c>
      <c r="U7" s="605">
        <f t="shared" si="0"/>
        <v>0</v>
      </c>
      <c r="V7" s="481">
        <f>AH21</f>
        <v>0</v>
      </c>
      <c r="Z7" s="431" t="str">
        <f>Z16</f>
        <v>Brasil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G2</v>
      </c>
      <c r="C8" s="409">
        <v>44889</v>
      </c>
      <c r="D8" s="411">
        <v>0.20833333333333334</v>
      </c>
      <c r="E8" s="449" t="s">
        <v>199</v>
      </c>
      <c r="F8" s="175" t="s">
        <v>7</v>
      </c>
      <c r="G8" s="477" t="str">
        <f>Z18</f>
        <v>Suiza</v>
      </c>
      <c r="H8" s="114">
        <f>VLOOKUP(B8,DB_PARTIDOS!$A$1:$I$65,5)</f>
        <v>1</v>
      </c>
      <c r="I8" s="477" t="str">
        <f>Z17</f>
        <v>Camerún</v>
      </c>
      <c r="J8" s="114">
        <f>VLOOKUP($B$8,DB_PARTIDOS!$A$1:$I$65,7)</f>
        <v>1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478"/>
      <c r="O8" s="450"/>
      <c r="P8" s="450"/>
      <c r="Q8" s="450"/>
      <c r="R8" s="450"/>
      <c r="S8" s="450"/>
      <c r="T8" s="450"/>
      <c r="U8" s="605"/>
      <c r="V8" s="481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9"/>
      <c r="D9" s="411"/>
      <c r="E9" s="449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478" t="str">
        <f>Z22</f>
        <v>Camerún</v>
      </c>
      <c r="O9" s="450">
        <f t="shared" ref="O9:V9" si="1">AA22</f>
        <v>0</v>
      </c>
      <c r="P9" s="450">
        <f t="shared" si="1"/>
        <v>0</v>
      </c>
      <c r="Q9" s="450">
        <f t="shared" si="1"/>
        <v>0</v>
      </c>
      <c r="R9" s="450">
        <f t="shared" si="1"/>
        <v>0</v>
      </c>
      <c r="S9" s="450">
        <f t="shared" si="1"/>
        <v>0</v>
      </c>
      <c r="T9" s="450">
        <f t="shared" si="1"/>
        <v>0</v>
      </c>
      <c r="U9" s="605">
        <f t="shared" si="1"/>
        <v>0</v>
      </c>
      <c r="V9" s="481">
        <f t="shared" si="1"/>
        <v>0</v>
      </c>
      <c r="Z9" s="432" t="str">
        <f>Z17</f>
        <v>Camerún</v>
      </c>
      <c r="AA9" s="426">
        <f>SUM(IF(AND($H$9&lt;&gt;"",$J$9&lt;&gt;"",$H$9&lt;$J$9),1,0)+IF(AND($H$11&lt;&gt;"",$J$11&lt;&gt;"",$J$11&lt;$H$11),1,0)+IF(AND($H$17&lt;&gt;"",$J$17&lt;&gt;"",$J$17&lt;$H$17),1,0))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SUM(IF(AND($H$9&lt;&gt;"",$J$9&lt;&gt;"",$H$9&gt;$J$9),1,0)+IF(AND($H$11&lt;&gt;"",$J$11&lt;&gt;"",$J$11&gt;$H$11),1,0)+IF(AND($H$17&lt;&gt;"",$J$17&lt;&gt;"",$J$17&gt;H$17),1,0))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x14ac:dyDescent="0.25">
      <c r="B10" s="38" t="str">
        <f>CONCATENATE(MID($C$2,7,1),3)</f>
        <v>G3</v>
      </c>
      <c r="C10" s="409">
        <v>44893</v>
      </c>
      <c r="D10" s="411">
        <v>0.20833333333333334</v>
      </c>
      <c r="E10" s="449" t="s">
        <v>199</v>
      </c>
      <c r="F10" s="175" t="s">
        <v>7</v>
      </c>
      <c r="G10" s="477" t="str">
        <f>Z17</f>
        <v>Camerún</v>
      </c>
      <c r="H10" s="114">
        <f>VLOOKUP(B10,DB_PARTIDOS!$A$1:$I$65,5)</f>
        <v>1</v>
      </c>
      <c r="I10" s="477" t="str">
        <f>Z19</f>
        <v>Serbia</v>
      </c>
      <c r="J10" s="114">
        <f>VLOOKUP($B$10,DB_PARTIDOS!$A$1:$I$65,7)</f>
        <v>1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478"/>
      <c r="O10" s="450"/>
      <c r="P10" s="450"/>
      <c r="Q10" s="450"/>
      <c r="R10" s="450"/>
      <c r="S10" s="450"/>
      <c r="T10" s="450"/>
      <c r="U10" s="605"/>
      <c r="V10" s="481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9"/>
      <c r="D11" s="411"/>
      <c r="E11" s="449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478" t="str">
        <f>Z23</f>
        <v>Suiza</v>
      </c>
      <c r="O11" s="450">
        <f t="shared" ref="O11:V11" si="2">AA23</f>
        <v>0</v>
      </c>
      <c r="P11" s="450">
        <f t="shared" si="2"/>
        <v>0</v>
      </c>
      <c r="Q11" s="450">
        <f t="shared" si="2"/>
        <v>0</v>
      </c>
      <c r="R11" s="450">
        <f t="shared" si="2"/>
        <v>0</v>
      </c>
      <c r="S11" s="450">
        <f t="shared" si="2"/>
        <v>0</v>
      </c>
      <c r="T11" s="450">
        <f t="shared" si="2"/>
        <v>0</v>
      </c>
      <c r="U11" s="605">
        <f t="shared" si="2"/>
        <v>0</v>
      </c>
      <c r="V11" s="481">
        <f t="shared" si="2"/>
        <v>0</v>
      </c>
      <c r="Z11" s="432" t="str">
        <f>Z18</f>
        <v>Suiza</v>
      </c>
      <c r="AA11" s="426">
        <f>SUM(IF(AND($H$9&lt;&gt;"",$J$9&lt;&gt;"",$J$9&lt;$H$9),1,0)+IF(AND($H$13&lt;&gt;"",$J$13&lt;&gt;"",$H$13&lt;J$13),1,0)+IF(AND($H$15&lt;&gt;"",$J$15&lt;&gt;"",$H$15&lt;$J$15),1,0))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G4</v>
      </c>
      <c r="C12" s="409">
        <v>44893</v>
      </c>
      <c r="D12" s="411">
        <v>0.45833333333333331</v>
      </c>
      <c r="E12" s="389">
        <v>974</v>
      </c>
      <c r="F12" s="175" t="s">
        <v>7</v>
      </c>
      <c r="G12" s="477" t="str">
        <f>Z16</f>
        <v>Brasil</v>
      </c>
      <c r="H12" s="114">
        <f>VLOOKUP(B12,DB_PARTIDOS!$A$1:$I$65,5)</f>
        <v>3</v>
      </c>
      <c r="I12" s="477" t="str">
        <f>Z18</f>
        <v>Suiza</v>
      </c>
      <c r="J12" s="114">
        <f>VLOOKUP($B$12,DB_PARTIDOS!$A$1:$I$65,7)</f>
        <v>0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478"/>
      <c r="O12" s="450"/>
      <c r="P12" s="450"/>
      <c r="Q12" s="450"/>
      <c r="R12" s="450"/>
      <c r="S12" s="450"/>
      <c r="T12" s="450"/>
      <c r="U12" s="605"/>
      <c r="V12" s="481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9"/>
      <c r="D13" s="411"/>
      <c r="E13" s="389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478" t="str">
        <f>Z24</f>
        <v>Serbia</v>
      </c>
      <c r="O13" s="450">
        <f t="shared" ref="O13:V13" si="3">AA24</f>
        <v>0</v>
      </c>
      <c r="P13" s="450">
        <f t="shared" si="3"/>
        <v>0</v>
      </c>
      <c r="Q13" s="450">
        <f t="shared" si="3"/>
        <v>0</v>
      </c>
      <c r="R13" s="450">
        <f t="shared" si="3"/>
        <v>0</v>
      </c>
      <c r="S13" s="450">
        <f t="shared" si="3"/>
        <v>0</v>
      </c>
      <c r="T13" s="450">
        <f t="shared" si="3"/>
        <v>0</v>
      </c>
      <c r="U13" s="605">
        <f t="shared" si="3"/>
        <v>0</v>
      </c>
      <c r="V13" s="481">
        <f t="shared" si="3"/>
        <v>0</v>
      </c>
      <c r="Z13" s="432" t="str">
        <f>Z19</f>
        <v>Serbia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G5</v>
      </c>
      <c r="C14" s="409">
        <v>44897</v>
      </c>
      <c r="D14" s="411">
        <v>0.58333333333333337</v>
      </c>
      <c r="E14" s="389">
        <v>974</v>
      </c>
      <c r="F14" s="175" t="s">
        <v>7</v>
      </c>
      <c r="G14" s="477" t="str">
        <f>Z19</f>
        <v>Serbia</v>
      </c>
      <c r="H14" s="114">
        <f>VLOOKUP(B14,DB_PARTIDOS!$A$1:$I$65,5)</f>
        <v>2</v>
      </c>
      <c r="I14" s="477" t="str">
        <f>Z18</f>
        <v>Suiza</v>
      </c>
      <c r="J14" s="114">
        <f>VLOOKUP($B$14,DB_PARTIDOS!$A$1:$I$65,7)</f>
        <v>2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86"/>
      <c r="O14" s="482"/>
      <c r="P14" s="482"/>
      <c r="Q14" s="482"/>
      <c r="R14" s="482"/>
      <c r="S14" s="482"/>
      <c r="T14" s="482"/>
      <c r="U14" s="607"/>
      <c r="V14" s="485"/>
      <c r="Z14" s="433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9"/>
      <c r="D15" s="411"/>
      <c r="E15" s="389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05" t="s">
        <v>26</v>
      </c>
      <c r="O15" s="633" t="s">
        <v>22</v>
      </c>
      <c r="P15" s="633"/>
      <c r="Q15" s="633"/>
      <c r="R15" s="633"/>
      <c r="S15" s="633" t="s">
        <v>23</v>
      </c>
      <c r="T15" s="633"/>
      <c r="U15" s="633"/>
      <c r="V15" s="133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G6</v>
      </c>
      <c r="C16" s="409">
        <v>44897</v>
      </c>
      <c r="D16" s="411">
        <v>0.58333333333333337</v>
      </c>
      <c r="E16" s="449" t="s">
        <v>198</v>
      </c>
      <c r="F16" s="175" t="s">
        <v>7</v>
      </c>
      <c r="G16" s="477" t="str">
        <f>Z17</f>
        <v>Camerún</v>
      </c>
      <c r="H16" s="114">
        <f>VLOOKUP(B16,DB_PARTIDOS!$A$1:$I$65,5)</f>
        <v>1</v>
      </c>
      <c r="I16" s="477" t="str">
        <f>Z16</f>
        <v>Brasil</v>
      </c>
      <c r="J16" s="114">
        <f>VLOOKUP($B$16,DB_PARTIDOS!$A$1:$I$65,7)</f>
        <v>3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Brasil</v>
      </c>
      <c r="P16" s="384"/>
      <c r="Q16" s="384"/>
      <c r="R16" s="384"/>
      <c r="S16" s="419" t="str">
        <f>N7</f>
        <v>Brasil</v>
      </c>
      <c r="T16" s="419"/>
      <c r="U16" s="419"/>
      <c r="V16" s="218">
        <f>IF(OR(O16=S16,O16=S17),AC28,0)+IF(O16=S16,2,0)</f>
        <v>4</v>
      </c>
      <c r="X16" s="38" t="str">
        <f>CONCATENATE(MID($C$2,7,1),N16)</f>
        <v>G1</v>
      </c>
      <c r="Z16" s="61" t="s">
        <v>4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6"/>
      <c r="D17" s="447"/>
      <c r="E17" s="494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Serbia</v>
      </c>
      <c r="P17" s="385"/>
      <c r="Q17" s="385"/>
      <c r="R17" s="385"/>
      <c r="S17" s="420" t="str">
        <f>N9</f>
        <v>Camerún</v>
      </c>
      <c r="T17" s="420"/>
      <c r="U17" s="420"/>
      <c r="V17" s="219">
        <f>IF(OR(O17=S17,O17=S16),AC28,0)+IF(O17=S17,2,0)</f>
        <v>0</v>
      </c>
      <c r="X17" s="38" t="str">
        <f>CONCATENATE(MID($C$2,7,1),N17)</f>
        <v>G2</v>
      </c>
      <c r="Z17" s="68" t="s">
        <v>190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107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150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634" t="s">
        <v>87</v>
      </c>
      <c r="K21" s="635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Brasil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8" t="s">
        <v>57</v>
      </c>
      <c r="D22" s="166" t="s">
        <v>26</v>
      </c>
      <c r="E22" s="28"/>
      <c r="F22" s="28"/>
      <c r="G22" s="28"/>
      <c r="H22" s="28"/>
      <c r="I22" s="28"/>
      <c r="J22" s="636"/>
      <c r="K22" s="637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Camerún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Brasil</v>
      </c>
      <c r="D23" s="109">
        <v>1</v>
      </c>
      <c r="E23" s="28"/>
      <c r="F23" s="28"/>
      <c r="G23" s="28"/>
      <c r="H23" s="28"/>
      <c r="I23" s="28"/>
      <c r="J23" s="638"/>
      <c r="K23" s="639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Suiza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Camerún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Serbia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Suiza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Serbia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99"/>
      <c r="F27" s="100"/>
      <c r="G27" s="101"/>
      <c r="H27" s="32"/>
      <c r="I27" s="102"/>
      <c r="J27" s="32"/>
      <c r="K27" s="102"/>
      <c r="L27" s="32"/>
      <c r="M27" s="102"/>
      <c r="N27" s="102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E28" s="54"/>
      <c r="F28" s="103"/>
      <c r="G28" s="104"/>
      <c r="H28" s="26"/>
      <c r="I28" s="105"/>
      <c r="J28" s="26"/>
      <c r="K28" s="105"/>
      <c r="L28" s="26"/>
      <c r="M28" s="105"/>
      <c r="N28" s="105"/>
      <c r="O28" s="92"/>
      <c r="P28" s="92"/>
      <c r="Q28" s="92"/>
      <c r="R28" s="92"/>
      <c r="S28" s="92"/>
      <c r="T28" s="92"/>
      <c r="AA28" s="69">
        <v>2</v>
      </c>
      <c r="AB28" s="69">
        <v>2</v>
      </c>
      <c r="AC28" s="69">
        <v>2</v>
      </c>
    </row>
    <row r="29" spans="3:45" x14ac:dyDescent="0.25">
      <c r="E29" s="54"/>
      <c r="F29" s="103"/>
      <c r="G29" s="104"/>
      <c r="H29" s="26"/>
      <c r="I29" s="105"/>
      <c r="J29" s="26"/>
      <c r="K29" s="105"/>
      <c r="L29" s="26"/>
      <c r="M29" s="105"/>
      <c r="N29" s="105"/>
      <c r="O29" s="92"/>
      <c r="P29" s="92"/>
      <c r="Q29" s="92"/>
      <c r="R29" s="92"/>
      <c r="S29" s="92"/>
      <c r="T29" s="92"/>
    </row>
    <row r="30" spans="3:45" x14ac:dyDescent="0.25">
      <c r="E30" s="54"/>
      <c r="F30" s="103"/>
      <c r="G30" s="104"/>
      <c r="H30" s="26"/>
      <c r="I30" s="105"/>
      <c r="J30" s="26"/>
      <c r="K30" s="105"/>
      <c r="L30" s="26"/>
      <c r="M30" s="105"/>
      <c r="N30" s="105"/>
      <c r="O30" s="92"/>
      <c r="P30" s="92"/>
      <c r="Q30" s="92"/>
      <c r="R30" s="92"/>
      <c r="S30" s="92"/>
      <c r="T30" s="92"/>
    </row>
    <row r="31" spans="3:45" x14ac:dyDescent="0.25">
      <c r="E31" s="54"/>
      <c r="F31" s="103"/>
      <c r="G31" s="104"/>
      <c r="H31" s="26"/>
      <c r="I31" s="105"/>
      <c r="J31" s="26"/>
      <c r="K31" s="105"/>
      <c r="L31" s="26"/>
      <c r="M31" s="105"/>
      <c r="N31" s="105"/>
      <c r="O31" s="92"/>
      <c r="P31" s="92"/>
      <c r="Q31" s="92"/>
      <c r="R31" s="92"/>
      <c r="S31" s="92"/>
      <c r="T31" s="92"/>
    </row>
    <row r="32" spans="3:45" x14ac:dyDescent="0.25">
      <c r="E32" s="54"/>
      <c r="F32" s="103"/>
      <c r="G32" s="104"/>
      <c r="H32" s="26"/>
      <c r="I32" s="105"/>
      <c r="J32" s="26"/>
      <c r="K32" s="105"/>
      <c r="L32" s="26"/>
      <c r="M32" s="105"/>
      <c r="N32" s="105"/>
      <c r="O32" s="92"/>
      <c r="P32" s="92"/>
      <c r="Q32" s="92"/>
      <c r="R32" s="92"/>
      <c r="S32" s="92"/>
      <c r="T32" s="92"/>
    </row>
    <row r="33" spans="5:20" x14ac:dyDescent="0.25">
      <c r="E33" s="54"/>
      <c r="F33" s="105"/>
      <c r="G33" s="105"/>
      <c r="H33" s="105"/>
      <c r="I33" s="105"/>
      <c r="J33" s="105"/>
      <c r="K33" s="105"/>
      <c r="L33" s="105"/>
      <c r="M33" s="105"/>
      <c r="N33" s="105"/>
      <c r="O33" s="92"/>
      <c r="P33" s="92"/>
      <c r="Q33" s="92"/>
      <c r="R33" s="92"/>
      <c r="S33" s="92"/>
      <c r="T33" s="92"/>
    </row>
    <row r="34" spans="5:20" x14ac:dyDescent="0.25"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</row>
    <row r="35" spans="5:20" x14ac:dyDescent="0.25"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</row>
    <row r="36" spans="5:20" x14ac:dyDescent="0.25"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</row>
    <row r="37" spans="5:20" x14ac:dyDescent="0.25"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</row>
    <row r="38" spans="5:20" x14ac:dyDescent="0.25"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</row>
    <row r="39" spans="5:20" x14ac:dyDescent="0.25"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</row>
    <row r="40" spans="5:20" x14ac:dyDescent="0.25"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</row>
    <row r="41" spans="5:20" x14ac:dyDescent="0.25"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</row>
    <row r="42" spans="5:20" x14ac:dyDescent="0.25"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</row>
    <row r="43" spans="5:20" x14ac:dyDescent="0.25"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</row>
    <row r="44" spans="5:20" x14ac:dyDescent="0.25"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</row>
    <row r="45" spans="5:20" x14ac:dyDescent="0.25"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</row>
    <row r="46" spans="5:20" x14ac:dyDescent="0.25"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</row>
    <row r="47" spans="5:20" x14ac:dyDescent="0.25"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</row>
    <row r="48" spans="5:20" x14ac:dyDescent="0.25"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</row>
    <row r="49" spans="6:19" x14ac:dyDescent="0.25"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</row>
    <row r="50" spans="6:19" x14ac:dyDescent="0.25"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</row>
    <row r="51" spans="6:19" x14ac:dyDescent="0.25"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I27:I32">
    <cfRule type="cellIs" dxfId="4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38"/>
  <sheetViews>
    <sheetView showGridLines="0" zoomScale="80" zoomScaleNormal="80" workbookViewId="0">
      <selection activeCell="J6" sqref="J6"/>
    </sheetView>
  </sheetViews>
  <sheetFormatPr baseColWidth="10" defaultColWidth="11.5703125" defaultRowHeight="15" x14ac:dyDescent="0.25"/>
  <cols>
    <col min="1" max="1" width="1" style="38" customWidth="1"/>
    <col min="2" max="2" width="6" style="38" hidden="1" customWidth="1"/>
    <col min="3" max="3" width="14" style="38" customWidth="1"/>
    <col min="4" max="4" width="9.7109375" style="38" customWidth="1"/>
    <col min="5" max="6" width="11.7109375" style="38" customWidth="1"/>
    <col min="7" max="7" width="14.28515625" style="38" customWidth="1"/>
    <col min="8" max="8" width="4.7109375" style="38" customWidth="1"/>
    <col min="9" max="9" width="14.28515625" style="38" customWidth="1"/>
    <col min="10" max="10" width="4.7109375" style="38" customWidth="1"/>
    <col min="11" max="12" width="12.7109375" style="38" customWidth="1"/>
    <col min="13" max="13" width="11.5703125" style="38"/>
    <col min="14" max="14" width="14.28515625" style="38" customWidth="1"/>
    <col min="15" max="22" width="5.7109375" style="38" customWidth="1"/>
    <col min="23" max="23" width="11.5703125" style="38" customWidth="1"/>
    <col min="24" max="24" width="11.42578125" style="38" hidden="1" customWidth="1"/>
    <col min="25" max="25" width="4.140625" style="38" hidden="1" customWidth="1"/>
    <col min="26" max="26" width="11.7109375" style="38" hidden="1" customWidth="1"/>
    <col min="27" max="32" width="11.42578125" style="38" hidden="1" customWidth="1"/>
    <col min="33" max="33" width="11.85546875" style="38" hidden="1" customWidth="1"/>
    <col min="34" max="37" width="11.42578125" style="38" hidden="1" customWidth="1"/>
    <col min="38" max="39" width="11.85546875" style="38" hidden="1" customWidth="1"/>
    <col min="40" max="44" width="11.42578125" style="38" hidden="1" customWidth="1"/>
    <col min="45" max="45" width="15.42578125" style="38" hidden="1" customWidth="1"/>
    <col min="46" max="46" width="11.42578125" style="38" customWidth="1"/>
    <col min="47" max="16384" width="11.5703125" style="38"/>
  </cols>
  <sheetData>
    <row r="1" spans="2:46" ht="4.5" customHeight="1" thickBot="1" x14ac:dyDescent="0.3"/>
    <row r="2" spans="2:46" ht="15" customHeight="1" x14ac:dyDescent="0.25">
      <c r="C2" s="640" t="s">
        <v>92</v>
      </c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641"/>
      <c r="Q2" s="641"/>
      <c r="R2" s="641"/>
      <c r="S2" s="641"/>
      <c r="T2" s="641"/>
      <c r="U2" s="641"/>
      <c r="V2" s="642"/>
    </row>
    <row r="3" spans="2:46" ht="15.75" customHeight="1" thickBot="1" x14ac:dyDescent="0.3">
      <c r="C3" s="643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5"/>
    </row>
    <row r="4" spans="2:46" x14ac:dyDescent="0.25">
      <c r="C4" s="646" t="s">
        <v>28</v>
      </c>
      <c r="D4" s="647"/>
      <c r="E4" s="647"/>
      <c r="F4" s="647"/>
      <c r="G4" s="647"/>
      <c r="H4" s="647"/>
      <c r="I4" s="647"/>
      <c r="J4" s="648"/>
      <c r="K4" s="649" t="s">
        <v>24</v>
      </c>
      <c r="L4" s="650"/>
      <c r="M4" s="651"/>
      <c r="N4" s="652" t="s">
        <v>21</v>
      </c>
      <c r="O4" s="650"/>
      <c r="P4" s="650"/>
      <c r="Q4" s="650"/>
      <c r="R4" s="650"/>
      <c r="S4" s="650"/>
      <c r="T4" s="650"/>
      <c r="U4" s="650"/>
      <c r="V4" s="653"/>
    </row>
    <row r="5" spans="2:46" ht="15.75" thickBot="1" x14ac:dyDescent="0.3">
      <c r="C5" s="177" t="s">
        <v>0</v>
      </c>
      <c r="D5" s="316" t="s">
        <v>1</v>
      </c>
      <c r="E5" s="316" t="s">
        <v>196</v>
      </c>
      <c r="F5" s="316" t="s">
        <v>2</v>
      </c>
      <c r="G5" s="657" t="s">
        <v>3</v>
      </c>
      <c r="H5" s="657"/>
      <c r="I5" s="657"/>
      <c r="J5" s="658"/>
      <c r="K5" s="318" t="s">
        <v>9</v>
      </c>
      <c r="L5" s="186" t="s">
        <v>10</v>
      </c>
      <c r="M5" s="187" t="s">
        <v>11</v>
      </c>
      <c r="N5" s="654"/>
      <c r="O5" s="655"/>
      <c r="P5" s="655"/>
      <c r="Q5" s="655"/>
      <c r="R5" s="655"/>
      <c r="S5" s="655"/>
      <c r="T5" s="655"/>
      <c r="U5" s="655"/>
      <c r="V5" s="656"/>
    </row>
    <row r="6" spans="2:46" ht="15.75" customHeight="1" thickBot="1" x14ac:dyDescent="0.3">
      <c r="B6" s="38" t="str">
        <f>CONCATENATE(MID($C$2,7,1),1)</f>
        <v>H1</v>
      </c>
      <c r="C6" s="408">
        <v>44889</v>
      </c>
      <c r="D6" s="410">
        <v>0.45833333333333331</v>
      </c>
      <c r="E6" s="412">
        <v>974</v>
      </c>
      <c r="F6" s="174" t="s">
        <v>7</v>
      </c>
      <c r="G6" s="476" t="str">
        <f>Z16</f>
        <v>Portugal</v>
      </c>
      <c r="H6" s="173">
        <f>VLOOKUP($B$6,DB_PARTIDOS!$A$1:$I$65,5)</f>
        <v>2</v>
      </c>
      <c r="I6" s="476" t="str">
        <f>Z19</f>
        <v>Ghana</v>
      </c>
      <c r="J6" s="173">
        <f>VLOOKUP($B$6,DB_PARTIDOS!$A$1:$I$65,7)</f>
        <v>0</v>
      </c>
      <c r="K6" s="418">
        <f>IF(OR(H6="",J6="",H7="",J7=""),0,(IF(OR(AND(H6&gt;J6,H7&gt;J7),AND(H6=J6,H7=J7),AND(H6&lt;J6,H7&lt;J7)),AA28,0)))</f>
        <v>0</v>
      </c>
      <c r="L6" s="418">
        <f>IF(OR(H6="",J6="",H7="",J7=""),0,IF(AND(H6=H7,J6=J7),AB28,0))</f>
        <v>0</v>
      </c>
      <c r="M6" s="416">
        <f>K6+L6</f>
        <v>0</v>
      </c>
      <c r="N6" s="202" t="s">
        <v>12</v>
      </c>
      <c r="O6" s="117" t="s">
        <v>13</v>
      </c>
      <c r="P6" s="117" t="s">
        <v>14</v>
      </c>
      <c r="Q6" s="117" t="s">
        <v>15</v>
      </c>
      <c r="R6" s="117" t="s">
        <v>16</v>
      </c>
      <c r="S6" s="117" t="s">
        <v>17</v>
      </c>
      <c r="T6" s="117" t="s">
        <v>18</v>
      </c>
      <c r="U6" s="117" t="s">
        <v>19</v>
      </c>
      <c r="V6" s="118" t="s">
        <v>20</v>
      </c>
      <c r="Z6" s="47" t="s">
        <v>12</v>
      </c>
      <c r="AA6" s="48" t="s">
        <v>13</v>
      </c>
      <c r="AB6" s="48" t="s">
        <v>14</v>
      </c>
      <c r="AC6" s="48" t="s">
        <v>15</v>
      </c>
      <c r="AD6" s="48" t="s">
        <v>16</v>
      </c>
      <c r="AE6" s="48" t="s">
        <v>17</v>
      </c>
      <c r="AF6" s="48" t="s">
        <v>18</v>
      </c>
      <c r="AG6" s="48" t="s">
        <v>19</v>
      </c>
      <c r="AH6" s="49" t="s">
        <v>20</v>
      </c>
      <c r="AL6" s="50"/>
      <c r="AM6" s="51"/>
      <c r="AN6" s="51"/>
      <c r="AO6" s="51"/>
      <c r="AP6" s="51"/>
      <c r="AQ6" s="51"/>
      <c r="AR6" s="51"/>
      <c r="AS6" s="51"/>
      <c r="AT6" s="52"/>
    </row>
    <row r="7" spans="2:46" x14ac:dyDescent="0.25">
      <c r="C7" s="409"/>
      <c r="D7" s="411"/>
      <c r="E7" s="389"/>
      <c r="F7" s="223" t="s">
        <v>8</v>
      </c>
      <c r="G7" s="477"/>
      <c r="H7" s="228" t="str">
        <f>IF(ISBLANK(VLOOKUP($B$6,DB_PARTIDOS!$A$1:$I$65,8)),"",VLOOKUP($B$6,DB_PARTIDOS!$A$1:$I$65,8))</f>
        <v/>
      </c>
      <c r="I7" s="477"/>
      <c r="J7" s="228" t="str">
        <f>IF(ISBLANK(VLOOKUP($B$6,DB_PARTIDOS!$A$1:$I$65,8)),"",VLOOKUP($B$6,DB_PARTIDOS!$A$1:$I$65,9))</f>
        <v/>
      </c>
      <c r="K7" s="386"/>
      <c r="L7" s="386"/>
      <c r="M7" s="417"/>
      <c r="N7" s="478" t="str">
        <f>Z21</f>
        <v>Portugal</v>
      </c>
      <c r="O7" s="450">
        <f t="shared" ref="O7:U7" si="0">AA21</f>
        <v>0</v>
      </c>
      <c r="P7" s="450">
        <f t="shared" si="0"/>
        <v>0</v>
      </c>
      <c r="Q7" s="450">
        <f t="shared" si="0"/>
        <v>0</v>
      </c>
      <c r="R7" s="450">
        <f t="shared" si="0"/>
        <v>0</v>
      </c>
      <c r="S7" s="450">
        <f t="shared" si="0"/>
        <v>0</v>
      </c>
      <c r="T7" s="450">
        <f t="shared" si="0"/>
        <v>0</v>
      </c>
      <c r="U7" s="605">
        <f t="shared" si="0"/>
        <v>0</v>
      </c>
      <c r="V7" s="481">
        <f>AH21</f>
        <v>0</v>
      </c>
      <c r="Z7" s="431" t="str">
        <f>Z16</f>
        <v>Portugal</v>
      </c>
      <c r="AA7" s="428">
        <f>SUM(IF(AND($H$7&lt;&gt;"",$J$7&lt;&gt;"",$H$7&gt;$J$7),1,0)+IF(AND($H$13&lt;&gt;"",$J$13&lt;&gt;"",$H$13&gt;$J$13),1,0)+IF(AND($H$17&lt;&gt;"",$J$17&lt;&gt;"",$J$17&gt;$H$17),1,0))</f>
        <v>0</v>
      </c>
      <c r="AB7" s="428">
        <f>SUM(IF(AND($H$7&lt;&gt;"",$J$7&lt;&gt;"",$H$7=$J$7),1,0)+IF(AND($H$13&lt;&gt;"",$J$13&lt;&gt;"",$H$13=$J$13),1,0)+IF(AND($H$17&lt;&gt;"",$J$17&lt;&gt;"",$J$17=$H$17),1,0))</f>
        <v>0</v>
      </c>
      <c r="AC7" s="428">
        <f>SUM(IF(AND($H$7&lt;&gt;"",$J$7&lt;&gt;"",$H$7&lt;$J$7),1,0)+IF(AND($H$13&lt;&gt;"",$J$13&lt;&gt;"",$H$13&lt;$J$13),1,0)+IF(AND($H$17&lt;&gt;"",$J$17&lt;&gt;"",$J$17&lt;$H$17),1,0))</f>
        <v>0</v>
      </c>
      <c r="AD7" s="428">
        <f>SUM($H$7,$H$13,$J$17)</f>
        <v>0</v>
      </c>
      <c r="AE7" s="479">
        <f>SUM($J$7,$J$11,$H$15)</f>
        <v>0</v>
      </c>
      <c r="AF7" s="428">
        <f>AD7-AE7</f>
        <v>0</v>
      </c>
      <c r="AG7" s="428">
        <f>(AA7*3+AB7)</f>
        <v>0</v>
      </c>
      <c r="AH7" s="437">
        <f>SUM(AA7,AB7,AC7)</f>
        <v>0</v>
      </c>
      <c r="AI7" s="53"/>
      <c r="AJ7" s="53"/>
      <c r="AL7" s="52"/>
      <c r="AM7" s="52"/>
      <c r="AN7" s="52"/>
      <c r="AO7" s="52"/>
      <c r="AP7" s="52"/>
      <c r="AQ7" s="52"/>
      <c r="AR7" s="52"/>
      <c r="AS7" s="52"/>
      <c r="AT7" s="52"/>
    </row>
    <row r="8" spans="2:46" x14ac:dyDescent="0.25">
      <c r="B8" s="38" t="str">
        <f>CONCATENATE(MID($C$2,7,1),2)</f>
        <v>H2</v>
      </c>
      <c r="C8" s="409">
        <v>44889</v>
      </c>
      <c r="D8" s="411">
        <v>0.33333333333333331</v>
      </c>
      <c r="E8" s="449" t="s">
        <v>197</v>
      </c>
      <c r="F8" s="175" t="s">
        <v>7</v>
      </c>
      <c r="G8" s="477" t="str">
        <f>Z18</f>
        <v>Uruguay</v>
      </c>
      <c r="H8" s="114">
        <f>VLOOKUP(B8,DB_PARTIDOS!$A$1:$I$65,5)</f>
        <v>3</v>
      </c>
      <c r="I8" s="477" t="str">
        <f>Z17</f>
        <v>Corea del Sur</v>
      </c>
      <c r="J8" s="114">
        <f>VLOOKUP($B$8,DB_PARTIDOS!$A$1:$I$65,7)</f>
        <v>1</v>
      </c>
      <c r="K8" s="386">
        <f>IF(OR(H8="",J8="",H9="",J9=""),0,(IF(OR(AND(H8&gt;J8,H9&gt;J9),AND(H8=J8,H9=J9),AND(H8&lt;J8,H9&lt;J9)),AA28,0)))</f>
        <v>0</v>
      </c>
      <c r="L8" s="386">
        <f>IF(OR(H8="",J8="",H9="",J9=""),0,IF(AND(H8=H9,J8=J9),AB28,0))</f>
        <v>0</v>
      </c>
      <c r="M8" s="417">
        <f>K8+L8</f>
        <v>0</v>
      </c>
      <c r="N8" s="478"/>
      <c r="O8" s="450"/>
      <c r="P8" s="450"/>
      <c r="Q8" s="450"/>
      <c r="R8" s="450"/>
      <c r="S8" s="450"/>
      <c r="T8" s="450"/>
      <c r="U8" s="605"/>
      <c r="V8" s="481"/>
      <c r="Z8" s="432"/>
      <c r="AA8" s="426"/>
      <c r="AB8" s="426"/>
      <c r="AC8" s="426"/>
      <c r="AD8" s="426"/>
      <c r="AE8" s="480"/>
      <c r="AF8" s="426"/>
      <c r="AG8" s="426"/>
      <c r="AH8" s="427"/>
      <c r="AI8" s="53"/>
      <c r="AJ8" s="53"/>
      <c r="AL8" s="52"/>
      <c r="AM8" s="52"/>
      <c r="AN8" s="52"/>
      <c r="AO8" s="52"/>
      <c r="AP8" s="52"/>
      <c r="AQ8" s="52"/>
      <c r="AR8" s="52"/>
      <c r="AS8" s="52"/>
      <c r="AT8" s="52"/>
    </row>
    <row r="9" spans="2:46" x14ac:dyDescent="0.25">
      <c r="C9" s="409"/>
      <c r="D9" s="411"/>
      <c r="E9" s="449"/>
      <c r="F9" s="223" t="s">
        <v>8</v>
      </c>
      <c r="G9" s="477"/>
      <c r="H9" s="228" t="str">
        <f>IF(ISBLANK(VLOOKUP($B$6,DB_PARTIDOS!$A$1:$I$65,8)),"",VLOOKUP($B$6,DB_PARTIDOS!$A$1:$I$65,8))</f>
        <v/>
      </c>
      <c r="I9" s="477"/>
      <c r="J9" s="228" t="str">
        <f>IF(ISBLANK(VLOOKUP($B$6,DB_PARTIDOS!$A$1:$I$65,8)),"",VLOOKUP($B$6,DB_PARTIDOS!$A$1:$I$65,9))</f>
        <v/>
      </c>
      <c r="K9" s="386"/>
      <c r="L9" s="386"/>
      <c r="M9" s="417"/>
      <c r="N9" s="478" t="str">
        <f>Z22</f>
        <v>Corea del Sur</v>
      </c>
      <c r="O9" s="450">
        <f t="shared" ref="O9:V9" si="1">AA22</f>
        <v>0</v>
      </c>
      <c r="P9" s="450">
        <f t="shared" si="1"/>
        <v>0</v>
      </c>
      <c r="Q9" s="450">
        <f t="shared" si="1"/>
        <v>0</v>
      </c>
      <c r="R9" s="450">
        <f t="shared" si="1"/>
        <v>0</v>
      </c>
      <c r="S9" s="450">
        <f t="shared" si="1"/>
        <v>0</v>
      </c>
      <c r="T9" s="450">
        <f t="shared" si="1"/>
        <v>0</v>
      </c>
      <c r="U9" s="605">
        <f t="shared" si="1"/>
        <v>0</v>
      </c>
      <c r="V9" s="481">
        <f t="shared" si="1"/>
        <v>0</v>
      </c>
      <c r="Z9" s="432" t="str">
        <f>Z17</f>
        <v>Corea del Sur</v>
      </c>
      <c r="AA9" s="426">
        <f>SUM(IF(AND($H$9&lt;&gt;"",$J$9&lt;&gt;"",$H$9&lt;$J$9),1,0)+IF(AND($H$11&lt;&gt;"",$J$11&lt;&gt;"",$J$11&lt;$H$11),1,0)+IF(AND($H$17&lt;&gt;"",$J$17&lt;&gt;"",$J$17&lt;$H$17),1,0))</f>
        <v>0</v>
      </c>
      <c r="AB9" s="426">
        <f>SUM(IF(AND($H$9&lt;&gt;"",$J$9&lt;&gt;"",$H$9=$J$9),1,0)+IF(AND($H$11&lt;&gt;"",$J$11&lt;&gt;"",$J$11=$H$11),1,0)+IF(AND($H$17&lt;&gt;"",$J$17&lt;&gt;"",$J$17=$H$17),1,0))</f>
        <v>0</v>
      </c>
      <c r="AC9" s="426">
        <f>SUM(IF(AND($H$9&lt;&gt;"",$J$9&lt;&gt;"",$H$9&gt;$J$9),1,0)+IF(AND($H$11&lt;&gt;"",$J$11&lt;&gt;"",$J$11&gt;$H$11),1,0)+IF(AND($H$17&lt;&gt;"",$J$17&lt;&gt;"",$J$17&gt;H$17),1,0))</f>
        <v>0</v>
      </c>
      <c r="AD9" s="426">
        <f>SUM($J$9,$H$11,$H$17)</f>
        <v>0</v>
      </c>
      <c r="AE9" s="435">
        <f>SUM($H$9,$J$11,$J$17)</f>
        <v>0</v>
      </c>
      <c r="AF9" s="426">
        <f>AD9-AE9</f>
        <v>0</v>
      </c>
      <c r="AG9" s="426">
        <f>(AA9*3+AB9)</f>
        <v>0</v>
      </c>
      <c r="AH9" s="427">
        <f>SUM(AA9,AB9,AC9)</f>
        <v>0</v>
      </c>
      <c r="AI9" s="53"/>
      <c r="AJ9" s="53"/>
      <c r="AL9" s="52"/>
      <c r="AM9" s="52"/>
      <c r="AN9" s="52"/>
      <c r="AO9" s="52"/>
      <c r="AP9" s="52"/>
      <c r="AQ9" s="52"/>
      <c r="AR9" s="52"/>
      <c r="AS9" s="52"/>
      <c r="AT9" s="52"/>
    </row>
    <row r="10" spans="2:46" ht="15" customHeight="1" x14ac:dyDescent="0.25">
      <c r="B10" s="38" t="str">
        <f>CONCATENATE(MID($C$2,7,1),3)</f>
        <v>H3</v>
      </c>
      <c r="C10" s="409">
        <v>44893</v>
      </c>
      <c r="D10" s="411">
        <v>0.33333333333333331</v>
      </c>
      <c r="E10" s="449" t="s">
        <v>197</v>
      </c>
      <c r="F10" s="175" t="s">
        <v>7</v>
      </c>
      <c r="G10" s="477" t="str">
        <f>Z17</f>
        <v>Corea del Sur</v>
      </c>
      <c r="H10" s="114">
        <f>VLOOKUP(B10,DB_PARTIDOS!$A$1:$I$65,5)</f>
        <v>1</v>
      </c>
      <c r="I10" s="477" t="str">
        <f>Z19</f>
        <v>Ghana</v>
      </c>
      <c r="J10" s="114">
        <f>VLOOKUP($B$10,DB_PARTIDOS!$A$1:$I$65,7)</f>
        <v>3</v>
      </c>
      <c r="K10" s="386">
        <f>IF(OR(H10="",J10="",H11="",J11=""),0,(IF(OR(AND(H10&gt;J10,H11&gt;J11),AND(H10=J10,H11=J11),AND(H10&lt;J10,H11&lt;J11)),AA28,0)))</f>
        <v>0</v>
      </c>
      <c r="L10" s="386">
        <f>IF(OR(H10="",J10="",H11="",J11=""),0,IF(AND(H10=H11,J10=J11),AB28,0))</f>
        <v>0</v>
      </c>
      <c r="M10" s="417">
        <f>K10+L10</f>
        <v>0</v>
      </c>
      <c r="N10" s="478"/>
      <c r="O10" s="450"/>
      <c r="P10" s="450"/>
      <c r="Q10" s="450"/>
      <c r="R10" s="450"/>
      <c r="S10" s="450"/>
      <c r="T10" s="450"/>
      <c r="U10" s="605"/>
      <c r="V10" s="481"/>
      <c r="Z10" s="432"/>
      <c r="AA10" s="426"/>
      <c r="AB10" s="426"/>
      <c r="AC10" s="426"/>
      <c r="AD10" s="426"/>
      <c r="AE10" s="480"/>
      <c r="AF10" s="426"/>
      <c r="AG10" s="426"/>
      <c r="AH10" s="427"/>
      <c r="AI10" s="53"/>
      <c r="AJ10" s="53"/>
      <c r="AL10" s="52"/>
      <c r="AM10" s="52"/>
      <c r="AN10" s="52"/>
      <c r="AO10" s="52"/>
      <c r="AP10" s="52"/>
      <c r="AQ10" s="52"/>
      <c r="AR10" s="52"/>
      <c r="AS10" s="52"/>
      <c r="AT10" s="52"/>
    </row>
    <row r="11" spans="2:46" x14ac:dyDescent="0.25">
      <c r="C11" s="409"/>
      <c r="D11" s="411"/>
      <c r="E11" s="449"/>
      <c r="F11" s="223" t="s">
        <v>8</v>
      </c>
      <c r="G11" s="477"/>
      <c r="H11" s="228" t="str">
        <f>IF(ISBLANK(VLOOKUP($B$6,DB_PARTIDOS!$A$1:$I$65,8)),"",VLOOKUP($B$6,DB_PARTIDOS!$A$1:$I$65,8))</f>
        <v/>
      </c>
      <c r="I11" s="477"/>
      <c r="J11" s="228" t="str">
        <f>IF(ISBLANK(VLOOKUP($B$6,DB_PARTIDOS!$A$1:$I$65,8)),"",VLOOKUP($B$6,DB_PARTIDOS!$A$1:$I$65,9))</f>
        <v/>
      </c>
      <c r="K11" s="386"/>
      <c r="L11" s="386"/>
      <c r="M11" s="417"/>
      <c r="N11" s="478" t="str">
        <f>Z23</f>
        <v>Uruguay</v>
      </c>
      <c r="O11" s="450">
        <f t="shared" ref="O11:V11" si="2">AA23</f>
        <v>0</v>
      </c>
      <c r="P11" s="450">
        <f t="shared" si="2"/>
        <v>0</v>
      </c>
      <c r="Q11" s="450">
        <f t="shared" si="2"/>
        <v>0</v>
      </c>
      <c r="R11" s="450">
        <f t="shared" si="2"/>
        <v>0</v>
      </c>
      <c r="S11" s="450">
        <f t="shared" si="2"/>
        <v>0</v>
      </c>
      <c r="T11" s="450">
        <f t="shared" si="2"/>
        <v>0</v>
      </c>
      <c r="U11" s="605">
        <f t="shared" si="2"/>
        <v>0</v>
      </c>
      <c r="V11" s="481">
        <f t="shared" si="2"/>
        <v>0</v>
      </c>
      <c r="Z11" s="432" t="str">
        <f>Z18</f>
        <v>Uruguay</v>
      </c>
      <c r="AA11" s="426">
        <f>SUM(IF(AND($H$9&lt;&gt;"",$J$9&lt;&gt;"",$J$9&lt;$H$9),1,0)+IF(AND($H$13&lt;&gt;"",$J$13&lt;&gt;"",$H$13&lt;J$13),1,0)+IF(AND($H$15&lt;&gt;"",$J$15&lt;&gt;"",$H$15&lt;$J$15),1,0))</f>
        <v>0</v>
      </c>
      <c r="AB11" s="426">
        <f>SUM(IF(AND($H$9&lt;&gt;"",$J$9&lt;&gt;"",$J$9=$H$9),1,0)+IF(AND($H$13&lt;&gt;"",$J$13&lt;&gt;"",$H$13=$J$13),1,0)+IF(AND($H$15&lt;&gt;"",$J$15&lt;&gt;"",$H$15=$J$15),1,0))</f>
        <v>0</v>
      </c>
      <c r="AC11" s="426">
        <f>SUM(IF(AND($H$9&lt;&gt;"",$J$9&lt;&gt;"",$J$9&gt;$H$9),1,0)+IF(AND($H$13&lt;&gt;"",$J$13&lt;&gt;"",$H$13&gt;$J$13),1,0)+IF(AND($H$15&lt;&gt;"",$J$15&lt;&gt;"",$H$15&gt;$J$15),1,0))</f>
        <v>0</v>
      </c>
      <c r="AD11" s="426">
        <f>SUM($H$9,$J$13,$J$15)</f>
        <v>0</v>
      </c>
      <c r="AE11" s="435">
        <f>SUM($J$9,$H$13,$H$15)</f>
        <v>0</v>
      </c>
      <c r="AF11" s="426">
        <f>AD11-AE11</f>
        <v>0</v>
      </c>
      <c r="AG11" s="426">
        <f>(AA11*3+AB11)</f>
        <v>0</v>
      </c>
      <c r="AH11" s="427">
        <f>SUM(AA11,AB11,AC11)</f>
        <v>0</v>
      </c>
      <c r="AI11" s="53"/>
      <c r="AJ11" s="53"/>
    </row>
    <row r="12" spans="2:46" x14ac:dyDescent="0.25">
      <c r="B12" s="38" t="str">
        <f>CONCATENATE(MID($C$2,7,1),4)</f>
        <v>H4</v>
      </c>
      <c r="C12" s="409">
        <v>44893</v>
      </c>
      <c r="D12" s="411">
        <v>0.58333333333333337</v>
      </c>
      <c r="E12" s="389" t="s">
        <v>198</v>
      </c>
      <c r="F12" s="175" t="s">
        <v>7</v>
      </c>
      <c r="G12" s="477" t="str">
        <f>Z16</f>
        <v>Portugal</v>
      </c>
      <c r="H12" s="114">
        <f>VLOOKUP(B12,DB_PARTIDOS!$A$1:$I$65,5)</f>
        <v>2</v>
      </c>
      <c r="I12" s="477" t="str">
        <f>Z18</f>
        <v>Uruguay</v>
      </c>
      <c r="J12" s="114">
        <f>VLOOKUP($B$12,DB_PARTIDOS!$A$1:$I$65,7)</f>
        <v>2</v>
      </c>
      <c r="K12" s="386">
        <f>IF(OR(H12="",J12="",H13="",J13=""),0,(IF(OR(AND(H12&gt;J12,H13&gt;J13),AND(H12=J12,H13=J13),AND(H12&lt;J12,H13&lt;J13)),AA28,0)))</f>
        <v>0</v>
      </c>
      <c r="L12" s="386">
        <f>IF(OR(H12="",J12="",H13="",J13=""),0,IF(AND(H12=H13,J12=J13),AB28,0))</f>
        <v>0</v>
      </c>
      <c r="M12" s="417">
        <f>K12+L12</f>
        <v>0</v>
      </c>
      <c r="N12" s="478"/>
      <c r="O12" s="450"/>
      <c r="P12" s="450"/>
      <c r="Q12" s="450"/>
      <c r="R12" s="450"/>
      <c r="S12" s="450"/>
      <c r="T12" s="450"/>
      <c r="U12" s="605"/>
      <c r="V12" s="481"/>
      <c r="Z12" s="432"/>
      <c r="AA12" s="426"/>
      <c r="AB12" s="426"/>
      <c r="AC12" s="426"/>
      <c r="AD12" s="426"/>
      <c r="AE12" s="480"/>
      <c r="AF12" s="426"/>
      <c r="AG12" s="426"/>
      <c r="AH12" s="427"/>
      <c r="AI12" s="53"/>
      <c r="AJ12" s="53"/>
      <c r="AL12" s="51"/>
      <c r="AM12" s="54"/>
      <c r="AN12" s="54"/>
      <c r="AO12" s="54"/>
      <c r="AP12" s="54"/>
      <c r="AQ12" s="54"/>
      <c r="AR12" s="54"/>
      <c r="AS12" s="54"/>
    </row>
    <row r="13" spans="2:46" x14ac:dyDescent="0.25">
      <c r="C13" s="409"/>
      <c r="D13" s="411"/>
      <c r="E13" s="389"/>
      <c r="F13" s="223" t="s">
        <v>8</v>
      </c>
      <c r="G13" s="477"/>
      <c r="H13" s="228" t="str">
        <f>IF(ISBLANK(VLOOKUP($B$6,DB_PARTIDOS!$A$1:$I$65,8)),"",VLOOKUP($B$6,DB_PARTIDOS!$A$1:$I$65,8))</f>
        <v/>
      </c>
      <c r="I13" s="477"/>
      <c r="J13" s="228" t="str">
        <f>IF(ISBLANK(VLOOKUP($B$6,DB_PARTIDOS!$A$1:$I$65,8)),"",VLOOKUP($B$6,DB_PARTIDOS!$A$1:$I$65,9))</f>
        <v/>
      </c>
      <c r="K13" s="386"/>
      <c r="L13" s="386"/>
      <c r="M13" s="417"/>
      <c r="N13" s="478" t="str">
        <f>Z24</f>
        <v>Ghana</v>
      </c>
      <c r="O13" s="450">
        <f t="shared" ref="O13:V13" si="3">AA24</f>
        <v>0</v>
      </c>
      <c r="P13" s="450">
        <f t="shared" si="3"/>
        <v>0</v>
      </c>
      <c r="Q13" s="450">
        <f t="shared" si="3"/>
        <v>0</v>
      </c>
      <c r="R13" s="450">
        <f t="shared" si="3"/>
        <v>0</v>
      </c>
      <c r="S13" s="450">
        <f t="shared" si="3"/>
        <v>0</v>
      </c>
      <c r="T13" s="450">
        <f t="shared" si="3"/>
        <v>0</v>
      </c>
      <c r="U13" s="605">
        <f t="shared" si="3"/>
        <v>0</v>
      </c>
      <c r="V13" s="481">
        <f t="shared" si="3"/>
        <v>0</v>
      </c>
      <c r="Z13" s="432" t="str">
        <f>Z19</f>
        <v>Ghana</v>
      </c>
      <c r="AA13" s="426">
        <f>SUM(IF(AND($H$7&lt;&gt;"",$J$7&lt;&gt;"",$J$7&gt;$H$7),1,0)+IF(AND($H$11&lt;&gt;"",$J$11&lt;&gt;"",$J$11&gt;$H$11),1,0)+IF(AND($H$15&lt;&gt;"",$J$15&lt;&gt;"",$H$15&gt;$J$15),1,0))</f>
        <v>0</v>
      </c>
      <c r="AB13" s="426">
        <f>SUM(IF(AND($H$7&lt;&gt;"",$J$7&lt;&gt;"",$J$7=$H$7),1,0)+IF(AND($H$11&lt;&gt;"",$J$11&lt;&gt;"",$J$11=$H$11),1,0)+IF(AND($H$15&lt;&gt;"",$J$15&lt;&gt;"",$H$15=$J$15),1,0))</f>
        <v>0</v>
      </c>
      <c r="AC13" s="426">
        <f>SUM(IF(AND($H$7&lt;&gt;"",$J$7&lt;&gt;"",$J$7&lt;$H$7),1,0)+IF(AND($H$11&lt;&gt;"",$J$11&lt;&gt;"",$J$11&lt;$H$11),1,0)+IF(AND($H$15&lt;&gt;"",$J$15&lt;&gt;"",$H$15&lt;$J$15),1,0))</f>
        <v>0</v>
      </c>
      <c r="AD13" s="426">
        <f>SUM($J$7,$J$11,$H$15)</f>
        <v>0</v>
      </c>
      <c r="AE13" s="435">
        <f>SUM($H$7,$H$11,$J$15)</f>
        <v>0</v>
      </c>
      <c r="AF13" s="426">
        <f>AD13-AE13</f>
        <v>0</v>
      </c>
      <c r="AG13" s="426">
        <f>(AA13*3+AB13)</f>
        <v>0</v>
      </c>
      <c r="AH13" s="427">
        <f>SUM(AA13,AB13,AC13)</f>
        <v>0</v>
      </c>
      <c r="AI13" s="53"/>
      <c r="AJ13" s="53"/>
      <c r="AL13" s="54"/>
      <c r="AM13" s="54"/>
      <c r="AN13" s="54"/>
      <c r="AO13" s="54"/>
      <c r="AP13" s="54"/>
      <c r="AQ13" s="54"/>
      <c r="AR13" s="54"/>
      <c r="AS13" s="54"/>
    </row>
    <row r="14" spans="2:46" ht="15.75" thickBot="1" x14ac:dyDescent="0.3">
      <c r="B14" s="38" t="str">
        <f>CONCATENATE(MID($C$2,7,1),5)</f>
        <v>H5</v>
      </c>
      <c r="C14" s="409">
        <v>44897</v>
      </c>
      <c r="D14" s="411">
        <v>0.41666666666666669</v>
      </c>
      <c r="E14" s="389" t="s">
        <v>199</v>
      </c>
      <c r="F14" s="175" t="s">
        <v>7</v>
      </c>
      <c r="G14" s="477" t="str">
        <f>Z19</f>
        <v>Ghana</v>
      </c>
      <c r="H14" s="114">
        <f>VLOOKUP(B14,DB_PARTIDOS!$A$1:$I$65,5)</f>
        <v>1</v>
      </c>
      <c r="I14" s="477" t="str">
        <f>Z18</f>
        <v>Uruguay</v>
      </c>
      <c r="J14" s="114">
        <f>VLOOKUP($B$14,DB_PARTIDOS!$A$1:$I$65,7)</f>
        <v>1</v>
      </c>
      <c r="K14" s="386">
        <f>IF(OR(H14="",J14="",H15="",J15=""),0,(IF(OR(AND(H14&gt;J14,H15&gt;J15),AND(H14=J14,H15=J15),AND(H14&lt;J14,H15&lt;J15)),AA28,0)))</f>
        <v>0</v>
      </c>
      <c r="L14" s="386">
        <f>IF(OR(H14="",J14="",H15="",J15=""),0,IF(AND(H14=H15,J14=J15),AB28,0))</f>
        <v>0</v>
      </c>
      <c r="M14" s="417">
        <f>K14+L14</f>
        <v>0</v>
      </c>
      <c r="N14" s="486"/>
      <c r="O14" s="482"/>
      <c r="P14" s="482"/>
      <c r="Q14" s="482"/>
      <c r="R14" s="482"/>
      <c r="S14" s="482"/>
      <c r="T14" s="482"/>
      <c r="U14" s="607"/>
      <c r="V14" s="485"/>
      <c r="Z14" s="433"/>
      <c r="AA14" s="435"/>
      <c r="AB14" s="435"/>
      <c r="AC14" s="435"/>
      <c r="AD14" s="435"/>
      <c r="AE14" s="484"/>
      <c r="AF14" s="435"/>
      <c r="AG14" s="435"/>
      <c r="AH14" s="436"/>
      <c r="AI14" s="53"/>
      <c r="AJ14" s="53"/>
      <c r="AL14" s="54"/>
      <c r="AM14" s="54"/>
      <c r="AN14" s="54"/>
      <c r="AO14" s="54"/>
      <c r="AP14" s="54"/>
      <c r="AQ14" s="54"/>
      <c r="AR14" s="54"/>
      <c r="AS14" s="54"/>
    </row>
    <row r="15" spans="2:46" ht="15.75" thickBot="1" x14ac:dyDescent="0.3">
      <c r="C15" s="409"/>
      <c r="D15" s="411"/>
      <c r="E15" s="389"/>
      <c r="F15" s="223" t="s">
        <v>8</v>
      </c>
      <c r="G15" s="477"/>
      <c r="H15" s="228" t="str">
        <f>IF(ISBLANK(VLOOKUP($B$6,DB_PARTIDOS!$A$1:$I$65,8)),"",VLOOKUP($B$6,DB_PARTIDOS!$A$1:$I$65,8))</f>
        <v/>
      </c>
      <c r="I15" s="477"/>
      <c r="J15" s="228" t="str">
        <f>IF(ISBLANK(VLOOKUP($B$6,DB_PARTIDOS!$A$1:$I$65,8)),"",VLOOKUP($B$6,DB_PARTIDOS!$A$1:$I$65,9))</f>
        <v/>
      </c>
      <c r="K15" s="386"/>
      <c r="L15" s="386"/>
      <c r="M15" s="417"/>
      <c r="N15" s="203" t="s">
        <v>26</v>
      </c>
      <c r="O15" s="659" t="s">
        <v>22</v>
      </c>
      <c r="P15" s="659"/>
      <c r="Q15" s="659"/>
      <c r="R15" s="659"/>
      <c r="S15" s="659" t="s">
        <v>23</v>
      </c>
      <c r="T15" s="659"/>
      <c r="U15" s="659"/>
      <c r="V15" s="132" t="s">
        <v>25</v>
      </c>
      <c r="Z15" s="55" t="s">
        <v>12</v>
      </c>
      <c r="AA15" s="56" t="s">
        <v>13</v>
      </c>
      <c r="AB15" s="56" t="s">
        <v>14</v>
      </c>
      <c r="AC15" s="56" t="s">
        <v>15</v>
      </c>
      <c r="AD15" s="56" t="s">
        <v>16</v>
      </c>
      <c r="AE15" s="56" t="s">
        <v>17</v>
      </c>
      <c r="AF15" s="56" t="s">
        <v>18</v>
      </c>
      <c r="AG15" s="56" t="s">
        <v>19</v>
      </c>
      <c r="AH15" s="57" t="s">
        <v>20</v>
      </c>
      <c r="AI15" s="58" t="s">
        <v>56</v>
      </c>
      <c r="AJ15" s="59" t="s">
        <v>53</v>
      </c>
      <c r="AK15" s="59" t="s">
        <v>59</v>
      </c>
      <c r="AL15" s="59" t="s">
        <v>60</v>
      </c>
      <c r="AM15" s="59" t="s">
        <v>61</v>
      </c>
      <c r="AN15" s="59" t="s">
        <v>55</v>
      </c>
      <c r="AO15" s="59" t="s">
        <v>58</v>
      </c>
      <c r="AP15" s="59" t="s">
        <v>62</v>
      </c>
      <c r="AQ15" s="59" t="s">
        <v>63</v>
      </c>
      <c r="AR15" s="59" t="s">
        <v>64</v>
      </c>
      <c r="AS15" s="60" t="s">
        <v>54</v>
      </c>
    </row>
    <row r="16" spans="2:46" x14ac:dyDescent="0.25">
      <c r="B16" s="38" t="str">
        <f>CONCATENATE(MID($C$2,7,1),6)</f>
        <v>H6</v>
      </c>
      <c r="C16" s="409">
        <v>44897</v>
      </c>
      <c r="D16" s="411">
        <v>0.41666666666666669</v>
      </c>
      <c r="E16" s="449" t="s">
        <v>197</v>
      </c>
      <c r="F16" s="175" t="s">
        <v>7</v>
      </c>
      <c r="G16" s="477" t="str">
        <f>Z17</f>
        <v>Corea del Sur</v>
      </c>
      <c r="H16" s="114">
        <f>VLOOKUP(B16,DB_PARTIDOS!$A$1:$I$65,5)</f>
        <v>0</v>
      </c>
      <c r="I16" s="477" t="str">
        <f>Z16</f>
        <v>Portugal</v>
      </c>
      <c r="J16" s="114">
        <f>VLOOKUP($B$16,DB_PARTIDOS!$A$1:$I$65,7)</f>
        <v>2</v>
      </c>
      <c r="K16" s="386">
        <f>IF(OR(H16="",J16="",H17="",J17=""),0,(IF(OR(AND(H16&gt;J16,H17&gt;J17),AND(H16=J16,H17=J17),AND(H16&lt;J16,H17&lt;J17)),AA28,0)))</f>
        <v>0</v>
      </c>
      <c r="L16" s="386">
        <f>IF(OR(H16="",J16="",H17="",J17=""),0,IF(AND(H16=H17,J16=J17),AB28,0))</f>
        <v>0</v>
      </c>
      <c r="M16" s="417">
        <f>K16+L16</f>
        <v>0</v>
      </c>
      <c r="N16" s="216">
        <v>1</v>
      </c>
      <c r="O16" s="384" t="str">
        <f>VLOOKUP(X16,DB_PARTIDOS!$L$1:$M$17,2)</f>
        <v>Portugal</v>
      </c>
      <c r="P16" s="384"/>
      <c r="Q16" s="384"/>
      <c r="R16" s="384"/>
      <c r="S16" s="419" t="str">
        <f>N7</f>
        <v>Portugal</v>
      </c>
      <c r="T16" s="419"/>
      <c r="U16" s="419"/>
      <c r="V16" s="218">
        <f>IF(OR(O16=S16,O16=S17),AC28,0)+IF(O16=S16,2,0)</f>
        <v>4</v>
      </c>
      <c r="X16" s="38" t="str">
        <f>CONCATENATE(MID($C$2,7,1),N16)</f>
        <v>H1</v>
      </c>
      <c r="Z16" s="61" t="s">
        <v>111</v>
      </c>
      <c r="AA16" s="62">
        <f t="shared" ref="AA16:AH16" si="4">AA7</f>
        <v>0</v>
      </c>
      <c r="AB16" s="62">
        <f t="shared" si="4"/>
        <v>0</v>
      </c>
      <c r="AC16" s="62">
        <f t="shared" si="4"/>
        <v>0</v>
      </c>
      <c r="AD16" s="62">
        <f t="shared" si="4"/>
        <v>0</v>
      </c>
      <c r="AE16" s="62">
        <f t="shared" si="4"/>
        <v>0</v>
      </c>
      <c r="AF16" s="62">
        <f t="shared" si="4"/>
        <v>0</v>
      </c>
      <c r="AG16" s="62">
        <f t="shared" si="4"/>
        <v>0</v>
      </c>
      <c r="AH16" s="63">
        <f t="shared" si="4"/>
        <v>0</v>
      </c>
      <c r="AI16" s="64">
        <f>(AG16*10000)+(AF16*1000)+(AD16*10)</f>
        <v>0</v>
      </c>
      <c r="AJ16" s="65">
        <f>RANK($AI16,Auxi1)</f>
        <v>1</v>
      </c>
      <c r="AK16" s="65">
        <f>IF(AI16=AI17,IF(H11&gt;J11,H11-J11,IF(H11=J11,0,H11-J11)),0)</f>
        <v>0</v>
      </c>
      <c r="AL16" s="66">
        <f>IF(AI16=AI18,IF(J15&gt;H15,J15-H15,IF(H15=J15,0,J15-H15)),0)</f>
        <v>0</v>
      </c>
      <c r="AM16" s="66">
        <f>IF(AI16=AI19,IF(H7&gt;J7,H7-J7,IF(H7=J7,0,H7-J7)),0)</f>
        <v>0</v>
      </c>
      <c r="AN16" s="66">
        <f>AM16+AL16+AK16+AI16</f>
        <v>0</v>
      </c>
      <c r="AO16" s="65">
        <f>IF($AN16=$AN17,($D24-$D23),0)</f>
        <v>1</v>
      </c>
      <c r="AP16" s="65">
        <f>IF(AN16=AN18,(D25-D23),0)</f>
        <v>2</v>
      </c>
      <c r="AQ16" s="65">
        <f>IF(AN16=AN19,(D26-D23),0)</f>
        <v>3</v>
      </c>
      <c r="AR16" s="65">
        <f>AQ16+AP16+AO16+AN16</f>
        <v>6</v>
      </c>
      <c r="AS16" s="67">
        <f>RANK($AR16,Auxi3)</f>
        <v>1</v>
      </c>
    </row>
    <row r="17" spans="3:45" ht="15.75" thickBot="1" x14ac:dyDescent="0.3">
      <c r="C17" s="446"/>
      <c r="D17" s="447"/>
      <c r="E17" s="494"/>
      <c r="F17" s="224" t="s">
        <v>8</v>
      </c>
      <c r="G17" s="495"/>
      <c r="H17" s="227" t="str">
        <f>IF(ISBLANK(VLOOKUP($B$6,DB_PARTIDOS!$A$1:$I$65,8)),"",VLOOKUP($B$6,DB_PARTIDOS!$A$1:$I$65,8))</f>
        <v/>
      </c>
      <c r="I17" s="495"/>
      <c r="J17" s="227" t="str">
        <f>IF(ISBLANK(VLOOKUP($B$6,DB_PARTIDOS!$A$1:$I$65,8)),"",VLOOKUP($B$6,DB_PARTIDOS!$A$1:$I$65,9))</f>
        <v/>
      </c>
      <c r="K17" s="387"/>
      <c r="L17" s="387"/>
      <c r="M17" s="422"/>
      <c r="N17" s="217">
        <v>2</v>
      </c>
      <c r="O17" s="385" t="str">
        <f>VLOOKUP(X17,DB_PARTIDOS!$L$1:$M$17,2)</f>
        <v>Uruguay</v>
      </c>
      <c r="P17" s="385"/>
      <c r="Q17" s="385"/>
      <c r="R17" s="385"/>
      <c r="S17" s="420" t="str">
        <f>N9</f>
        <v>Corea del Sur</v>
      </c>
      <c r="T17" s="420"/>
      <c r="U17" s="420"/>
      <c r="V17" s="219">
        <f>IF(OR(O17=S17,O17=S16),AC28,0)+IF(O17=S17,2,0)</f>
        <v>0</v>
      </c>
      <c r="X17" s="38" t="str">
        <f>CONCATENATE(MID($C$2,7,1),N17)</f>
        <v>H2</v>
      </c>
      <c r="Z17" s="68" t="s">
        <v>112</v>
      </c>
      <c r="AA17" s="69">
        <f>AA9</f>
        <v>0</v>
      </c>
      <c r="AB17" s="69">
        <f>AB9</f>
        <v>0</v>
      </c>
      <c r="AC17" s="69">
        <f t="shared" ref="AC17:AH17" si="5">AC9</f>
        <v>0</v>
      </c>
      <c r="AD17" s="69">
        <f t="shared" si="5"/>
        <v>0</v>
      </c>
      <c r="AE17" s="69">
        <f t="shared" si="5"/>
        <v>0</v>
      </c>
      <c r="AF17" s="69">
        <f t="shared" si="5"/>
        <v>0</v>
      </c>
      <c r="AG17" s="69">
        <f t="shared" si="5"/>
        <v>0</v>
      </c>
      <c r="AH17" s="70">
        <f t="shared" si="5"/>
        <v>0</v>
      </c>
      <c r="AI17" s="71">
        <f>(AG17*10000)+(AF17*1000)+(AD17*10)</f>
        <v>0</v>
      </c>
      <c r="AJ17" s="69">
        <f>RANK($AI17,Auxi1)</f>
        <v>1</v>
      </c>
      <c r="AK17" s="69">
        <f>IF(AI17=AI16,IF(J11&gt;H11,J11-H11,IF(H11=J11,0,J11-H11)),0)</f>
        <v>0</v>
      </c>
      <c r="AL17" s="72">
        <f>IF(AI17=AI18,IF(H9&gt;J9,H9-J9,IF(H9=J9,0,H9-J9)),0)</f>
        <v>0</v>
      </c>
      <c r="AM17" s="72">
        <f>IF(AI17=AI19,IF(J17&gt;H17,J17-H17,IF(H17=J17,0,H17-J17)),0)</f>
        <v>0</v>
      </c>
      <c r="AN17" s="72">
        <f>AM17+AL17+AK17+AI17</f>
        <v>0</v>
      </c>
      <c r="AO17" s="69">
        <f>IF($AN16=$AN17,($D23-$D24),0)</f>
        <v>-1</v>
      </c>
      <c r="AP17" s="69">
        <f>IF($AN18=$AN17,($D25-$D24),0)</f>
        <v>1</v>
      </c>
      <c r="AQ17" s="69">
        <f>IF($AN19=$AN17,($D26-$D24),0)</f>
        <v>2</v>
      </c>
      <c r="AR17" s="69">
        <f>AQ17+AP17+AO17+AN17</f>
        <v>2</v>
      </c>
      <c r="AS17" s="73">
        <f>RANK($AR17,Auxi3)</f>
        <v>2</v>
      </c>
    </row>
    <row r="18" spans="3:45" ht="15.75" thickBot="1" x14ac:dyDescent="0.3"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9"/>
      <c r="Z18" s="68" t="s">
        <v>104</v>
      </c>
      <c r="AA18" s="69">
        <f>AA11</f>
        <v>0</v>
      </c>
      <c r="AB18" s="69">
        <f>AB11</f>
        <v>0</v>
      </c>
      <c r="AC18" s="69">
        <f t="shared" ref="AC18:AH18" si="6">AC11</f>
        <v>0</v>
      </c>
      <c r="AD18" s="69">
        <f t="shared" si="6"/>
        <v>0</v>
      </c>
      <c r="AE18" s="69">
        <f t="shared" si="6"/>
        <v>0</v>
      </c>
      <c r="AF18" s="69">
        <f t="shared" si="6"/>
        <v>0</v>
      </c>
      <c r="AG18" s="69">
        <f t="shared" si="6"/>
        <v>0</v>
      </c>
      <c r="AH18" s="70">
        <f t="shared" si="6"/>
        <v>0</v>
      </c>
      <c r="AI18" s="71">
        <f>(AG18*10000)+(AF18*1000)+(AD18*10)</f>
        <v>0</v>
      </c>
      <c r="AJ18" s="69">
        <f>RANK($AI18,Auxi1)</f>
        <v>1</v>
      </c>
      <c r="AK18" s="69">
        <f>IF(AI18=AI16,IF(H15&gt;J15,H15-J15,IF(H15=J15,0,H15-J15)),0)</f>
        <v>0</v>
      </c>
      <c r="AL18" s="72">
        <f>IF(AI18=AI17,IF(J9&gt;H9,J9-H9,IF(H9=J9,0,J9-H9)),0)</f>
        <v>0</v>
      </c>
      <c r="AM18" s="72">
        <f>IF(AI18=AI19,IF(H13&gt;J13,H13-J13,IF(H13=J13,0,H13-J13)),0)</f>
        <v>0</v>
      </c>
      <c r="AN18" s="72">
        <f>AM18+AL18+AK18+AI18</f>
        <v>0</v>
      </c>
      <c r="AO18" s="69">
        <f>IF($AN16=$AN18,($D23-$D25),0)</f>
        <v>-2</v>
      </c>
      <c r="AP18" s="69">
        <f>IF($AN17=$AN18,($D24-$D25),0)</f>
        <v>-1</v>
      </c>
      <c r="AQ18" s="69">
        <f>IF($AN19=$AN18,($D26-$D25),0)</f>
        <v>1</v>
      </c>
      <c r="AR18" s="69">
        <f>AQ18+AP18+AO18+AN18</f>
        <v>-2</v>
      </c>
      <c r="AS18" s="73">
        <f>RANK($AR18,Auxi3)</f>
        <v>3</v>
      </c>
    </row>
    <row r="19" spans="3:45" ht="15.75" customHeight="1" thickBot="1" x14ac:dyDescent="0.3">
      <c r="C19" s="440" t="s">
        <v>182</v>
      </c>
      <c r="D19" s="4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9"/>
      <c r="Z19" s="68" t="s">
        <v>191</v>
      </c>
      <c r="AA19" s="75">
        <f>AA13</f>
        <v>0</v>
      </c>
      <c r="AB19" s="75">
        <f t="shared" ref="AB19:AH19" si="7">AB13</f>
        <v>0</v>
      </c>
      <c r="AC19" s="75">
        <f t="shared" si="7"/>
        <v>0</v>
      </c>
      <c r="AD19" s="75">
        <f t="shared" si="7"/>
        <v>0</v>
      </c>
      <c r="AE19" s="75">
        <f t="shared" si="7"/>
        <v>0</v>
      </c>
      <c r="AF19" s="75">
        <f t="shared" si="7"/>
        <v>0</v>
      </c>
      <c r="AG19" s="75">
        <f t="shared" si="7"/>
        <v>0</v>
      </c>
      <c r="AH19" s="76">
        <f t="shared" si="7"/>
        <v>0</v>
      </c>
      <c r="AI19" s="77">
        <f>(AG19*10000)+(AF19*1000)+(AD19*10)</f>
        <v>0</v>
      </c>
      <c r="AJ19" s="78">
        <f>RANK($AI19,Auxi1)</f>
        <v>1</v>
      </c>
      <c r="AK19" s="78">
        <f>IF(AI19=AI16,IF(J7&gt;H7,J7-H7,IF(H7=J7,0,J7-H7)),0)</f>
        <v>0</v>
      </c>
      <c r="AL19" s="79">
        <f>IF(AI19=AI17,IF(H17&gt;J17,J17-H17,IF(H17=J17,0,J17-H17)),0)</f>
        <v>0</v>
      </c>
      <c r="AM19" s="79">
        <f>IF(AI19=AI18,IF(J13&gt;H13,J13-H13,IF(H13=J13,0,J13-H13)),0)</f>
        <v>0</v>
      </c>
      <c r="AN19" s="79">
        <f>AM19+AL19+AK19+AI19</f>
        <v>0</v>
      </c>
      <c r="AO19" s="78">
        <f>IF($AN16=$AN19,($D23-$D26),0)</f>
        <v>-3</v>
      </c>
      <c r="AP19" s="78">
        <f>IF($AN17=$AN19,($D24-$D26),0)</f>
        <v>-2</v>
      </c>
      <c r="AQ19" s="78">
        <f>IF($AN18=$AN19,($D25-$D26),0)</f>
        <v>-1</v>
      </c>
      <c r="AR19" s="78">
        <f>AQ19+AP19+AO19+AN19</f>
        <v>-6</v>
      </c>
      <c r="AS19" s="80">
        <f>RANK($AR19,Auxi3)</f>
        <v>4</v>
      </c>
    </row>
    <row r="20" spans="3:45" ht="15.75" thickBot="1" x14ac:dyDescent="0.3">
      <c r="C20" s="442"/>
      <c r="D20" s="4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Y20" s="55" t="s">
        <v>26</v>
      </c>
      <c r="Z20" s="81" t="s">
        <v>12</v>
      </c>
      <c r="AA20" s="56" t="s">
        <v>13</v>
      </c>
      <c r="AB20" s="56" t="s">
        <v>14</v>
      </c>
      <c r="AC20" s="56" t="s">
        <v>15</v>
      </c>
      <c r="AD20" s="56" t="s">
        <v>16</v>
      </c>
      <c r="AE20" s="56" t="s">
        <v>17</v>
      </c>
      <c r="AF20" s="56" t="s">
        <v>18</v>
      </c>
      <c r="AG20" s="56" t="s">
        <v>19</v>
      </c>
      <c r="AH20" s="57" t="s">
        <v>20</v>
      </c>
      <c r="AL20" s="54"/>
      <c r="AM20" s="54"/>
      <c r="AN20" s="54"/>
      <c r="AO20" s="54"/>
      <c r="AP20" s="54"/>
      <c r="AQ20" s="54"/>
      <c r="AR20" s="54"/>
      <c r="AS20" s="54"/>
    </row>
    <row r="21" spans="3:45" ht="15" customHeight="1" thickBot="1" x14ac:dyDescent="0.3">
      <c r="C21" s="444"/>
      <c r="D21" s="445"/>
      <c r="E21" s="28"/>
      <c r="F21" s="28"/>
      <c r="G21" s="28"/>
      <c r="H21" s="28"/>
      <c r="I21" s="28"/>
      <c r="J21" s="660" t="s">
        <v>93</v>
      </c>
      <c r="K21" s="661"/>
      <c r="L21" s="381">
        <f>SUM(M6:M17,IF(SUM(V7:V14)=12,V16:V17,0))</f>
        <v>0</v>
      </c>
      <c r="M21" s="1"/>
      <c r="N21" s="28"/>
      <c r="O21" s="28"/>
      <c r="P21" s="28"/>
      <c r="Q21" s="28"/>
      <c r="R21" s="28"/>
      <c r="S21" s="28"/>
      <c r="T21" s="28"/>
      <c r="U21" s="28"/>
      <c r="V21" s="29"/>
      <c r="Y21" s="61">
        <v>1</v>
      </c>
      <c r="Z21" s="62" t="str">
        <f>INDEX(Equipos,MATCH($Y21,Jera2,0))</f>
        <v>Portugal</v>
      </c>
      <c r="AA21" s="62">
        <f>INDEX(Ganados,MATCH($Y21,Jera2,0))</f>
        <v>0</v>
      </c>
      <c r="AB21" s="62">
        <f>INDEX(Empatados,MATCH($Y21,Jera2,0))</f>
        <v>0</v>
      </c>
      <c r="AC21" s="62">
        <f>INDEX(Perdidos,MATCH($Y21,Jera2,0))</f>
        <v>0</v>
      </c>
      <c r="AD21" s="62">
        <f>INDEX(GF,MATCH($Y21,Jera2,0))</f>
        <v>0</v>
      </c>
      <c r="AE21" s="62">
        <f>INDEX(GC,MATCH($Y21,Jera2,0))</f>
        <v>0</v>
      </c>
      <c r="AF21" s="62">
        <f>INDEX(DG,MATCH($Y21,Jera2,0))</f>
        <v>0</v>
      </c>
      <c r="AG21" s="62">
        <f>INDEX(PTS,MATCH($Y21,Jera2,0))</f>
        <v>0</v>
      </c>
      <c r="AH21" s="82">
        <f>INDEX(PJ,MATCH($Y21,Jera2,0))</f>
        <v>0</v>
      </c>
      <c r="AL21" s="54"/>
      <c r="AM21" s="54"/>
      <c r="AN21" s="54"/>
      <c r="AO21" s="54"/>
      <c r="AP21" s="54"/>
      <c r="AQ21" s="54"/>
      <c r="AR21" s="54"/>
      <c r="AS21" s="54"/>
    </row>
    <row r="22" spans="3:45" ht="15" customHeight="1" thickBot="1" x14ac:dyDescent="0.3">
      <c r="C22" s="157" t="s">
        <v>57</v>
      </c>
      <c r="D22" s="165" t="s">
        <v>26</v>
      </c>
      <c r="E22" s="28"/>
      <c r="F22" s="28"/>
      <c r="G22" s="28"/>
      <c r="H22" s="28"/>
      <c r="I22" s="28"/>
      <c r="J22" s="662"/>
      <c r="K22" s="663"/>
      <c r="L22" s="382"/>
      <c r="M22" s="1"/>
      <c r="N22" s="28"/>
      <c r="O22" s="28"/>
      <c r="P22" s="28"/>
      <c r="Q22" s="28"/>
      <c r="R22" s="28"/>
      <c r="S22" s="28"/>
      <c r="T22" s="28"/>
      <c r="U22" s="28"/>
      <c r="V22" s="29"/>
      <c r="Y22" s="68">
        <v>2</v>
      </c>
      <c r="Z22" s="69" t="str">
        <f>INDEX(Equipos,MATCH(Y22,Jera2,0))</f>
        <v>Corea del Sur</v>
      </c>
      <c r="AA22" s="69">
        <f>INDEX(Ganados,MATCH($Y22,Jera2,0))</f>
        <v>0</v>
      </c>
      <c r="AB22" s="69">
        <f>INDEX(Empatados,MATCH($Y22,Jera2,0))</f>
        <v>0</v>
      </c>
      <c r="AC22" s="69">
        <f>INDEX(Perdidos,MATCH($Y22,Jera2,0))</f>
        <v>0</v>
      </c>
      <c r="AD22" s="69">
        <f>INDEX(GF,MATCH($Y22,Jera2,0))</f>
        <v>0</v>
      </c>
      <c r="AE22" s="69">
        <f>INDEX(GC,MATCH($Y22,Jera2,0))</f>
        <v>0</v>
      </c>
      <c r="AF22" s="69">
        <f>INDEX(DG,MATCH($Y22,Jera2,0))</f>
        <v>0</v>
      </c>
      <c r="AG22" s="69">
        <f>INDEX(PTS,MATCH($Y22,Jera2,0))</f>
        <v>0</v>
      </c>
      <c r="AH22" s="83">
        <f>INDEX(PJ,MATCH($Y22,Jera2,0))</f>
        <v>0</v>
      </c>
      <c r="AL22" s="54"/>
      <c r="AM22" s="54"/>
      <c r="AN22" s="54"/>
      <c r="AO22" s="54"/>
      <c r="AP22" s="54"/>
      <c r="AQ22" s="54"/>
      <c r="AR22" s="54"/>
      <c r="AS22" s="54"/>
    </row>
    <row r="23" spans="3:45" ht="15" customHeight="1" thickBot="1" x14ac:dyDescent="0.3">
      <c r="C23" s="220" t="str">
        <f>Z7</f>
        <v>Portugal</v>
      </c>
      <c r="D23" s="109">
        <v>1</v>
      </c>
      <c r="E23" s="28"/>
      <c r="F23" s="28"/>
      <c r="G23" s="28"/>
      <c r="H23" s="28"/>
      <c r="I23" s="28"/>
      <c r="J23" s="664"/>
      <c r="K23" s="665"/>
      <c r="L23" s="383"/>
      <c r="M23" s="1"/>
      <c r="N23" s="28"/>
      <c r="O23" s="28"/>
      <c r="P23" s="28"/>
      <c r="Q23" s="28"/>
      <c r="R23" s="28"/>
      <c r="S23" s="28"/>
      <c r="T23" s="28"/>
      <c r="U23" s="28"/>
      <c r="V23" s="29"/>
      <c r="Y23" s="68">
        <v>3</v>
      </c>
      <c r="Z23" s="69" t="str">
        <f>INDEX(Equipos,MATCH(Y23,Jera2,0))</f>
        <v>Uruguay</v>
      </c>
      <c r="AA23" s="69">
        <f>INDEX(Ganados,MATCH($Y23,Jera2,0))</f>
        <v>0</v>
      </c>
      <c r="AB23" s="69">
        <f>INDEX(Empatados,MATCH($Y23,Jera2,0))</f>
        <v>0</v>
      </c>
      <c r="AC23" s="69">
        <f>INDEX(Perdidos,MATCH($Y23,Jera2,0))</f>
        <v>0</v>
      </c>
      <c r="AD23" s="69">
        <f>INDEX(GF,MATCH($Y23,Jera2,0))</f>
        <v>0</v>
      </c>
      <c r="AE23" s="69">
        <f>INDEX(GC,MATCH($Y23,Jera2,0))</f>
        <v>0</v>
      </c>
      <c r="AF23" s="69">
        <f>INDEX(DG,MATCH($Y23,Jera2,0))</f>
        <v>0</v>
      </c>
      <c r="AG23" s="69">
        <f>INDEX(PTS,MATCH($Y23,Jera2,0))</f>
        <v>0</v>
      </c>
      <c r="AH23" s="83">
        <f>INDEX(PJ,MATCH($Y23,Jera2,0))</f>
        <v>0</v>
      </c>
      <c r="AL23" s="54"/>
      <c r="AM23" s="54"/>
      <c r="AN23" s="54"/>
      <c r="AO23" s="54"/>
      <c r="AP23" s="54"/>
      <c r="AQ23" s="54"/>
      <c r="AR23" s="54"/>
      <c r="AS23" s="54"/>
    </row>
    <row r="24" spans="3:45" ht="15.75" thickBot="1" x14ac:dyDescent="0.3">
      <c r="C24" s="221" t="str">
        <f>Z9</f>
        <v>Corea del Sur</v>
      </c>
      <c r="D24" s="84">
        <v>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Y24" s="85">
        <v>4</v>
      </c>
      <c r="Z24" s="78" t="str">
        <f>INDEX(Equipos,MATCH(Y24,Jera2,0))</f>
        <v>Ghana</v>
      </c>
      <c r="AA24" s="78">
        <f>INDEX(Ganados,MATCH($Y24,Jera2,0))</f>
        <v>0</v>
      </c>
      <c r="AB24" s="78">
        <f>INDEX(Empatados,MATCH($Y24,Jera2,0))</f>
        <v>0</v>
      </c>
      <c r="AC24" s="78">
        <f>INDEX(Perdidos,MATCH($Y24,Jera2,0))</f>
        <v>0</v>
      </c>
      <c r="AD24" s="78">
        <f>INDEX(GF,MATCH($Y24,Jera2,0))</f>
        <v>0</v>
      </c>
      <c r="AE24" s="78">
        <f>INDEX(GC,MATCH($Y24,Jera2,0))</f>
        <v>0</v>
      </c>
      <c r="AF24" s="78">
        <f>INDEX(DG,MATCH($Y24,Jera2,0))</f>
        <v>0</v>
      </c>
      <c r="AG24" s="78">
        <f>INDEX(PTS,MATCH($Y24,Jera2,0))</f>
        <v>0</v>
      </c>
      <c r="AH24" s="86">
        <f>INDEX(PJ,MATCH($Y24,Jera2,0))</f>
        <v>0</v>
      </c>
    </row>
    <row r="25" spans="3:45" ht="15.75" thickBot="1" x14ac:dyDescent="0.3">
      <c r="C25" s="221" t="str">
        <f>Z11</f>
        <v>Uruguay</v>
      </c>
      <c r="D25" s="84">
        <v>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  <row r="26" spans="3:45" ht="15.75" thickBot="1" x14ac:dyDescent="0.3">
      <c r="C26" s="222" t="str">
        <f>Z13</f>
        <v>Ghana</v>
      </c>
      <c r="D26" s="87">
        <v>4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AA26" s="429" t="s">
        <v>65</v>
      </c>
      <c r="AB26" s="421"/>
      <c r="AC26" s="430"/>
      <c r="AD26" s="3"/>
    </row>
    <row r="27" spans="3:45" ht="15.75" thickBot="1" x14ac:dyDescent="0.3">
      <c r="C27" s="88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89"/>
      <c r="V27" s="90"/>
      <c r="AA27" s="62" t="s">
        <v>66</v>
      </c>
      <c r="AB27" s="62" t="s">
        <v>67</v>
      </c>
      <c r="AC27" s="62" t="s">
        <v>68</v>
      </c>
    </row>
    <row r="28" spans="3:45" x14ac:dyDescent="0.25">
      <c r="D28" s="92"/>
      <c r="E28" s="93"/>
      <c r="F28" s="94"/>
      <c r="G28" s="33"/>
      <c r="H28" s="95"/>
      <c r="I28" s="33"/>
      <c r="J28" s="96"/>
      <c r="K28" s="33"/>
      <c r="L28" s="97"/>
      <c r="M28" s="98"/>
      <c r="N28" s="92"/>
      <c r="O28" s="92"/>
      <c r="P28" s="92"/>
      <c r="Q28" s="92"/>
      <c r="R28" s="92"/>
      <c r="S28" s="92"/>
      <c r="T28" s="92"/>
      <c r="U28" s="92"/>
      <c r="AA28" s="69">
        <v>2</v>
      </c>
      <c r="AB28" s="69">
        <v>2</v>
      </c>
      <c r="AC28" s="69">
        <v>2</v>
      </c>
    </row>
    <row r="29" spans="3:45" x14ac:dyDescent="0.25">
      <c r="D29" s="92"/>
      <c r="E29" s="93"/>
      <c r="F29" s="94"/>
      <c r="G29" s="33"/>
      <c r="H29" s="95"/>
      <c r="I29" s="33"/>
      <c r="J29" s="96"/>
      <c r="K29" s="33"/>
      <c r="L29" s="97"/>
      <c r="M29" s="98"/>
      <c r="N29" s="92"/>
      <c r="O29" s="92"/>
      <c r="P29" s="92"/>
      <c r="Q29" s="92"/>
      <c r="R29" s="92"/>
      <c r="S29" s="92"/>
      <c r="T29" s="92"/>
      <c r="U29" s="92"/>
    </row>
    <row r="30" spans="3:45" x14ac:dyDescent="0.25">
      <c r="D30" s="92"/>
      <c r="E30" s="93"/>
      <c r="F30" s="94"/>
      <c r="G30" s="33"/>
      <c r="H30" s="95"/>
      <c r="I30" s="33"/>
      <c r="J30" s="96"/>
      <c r="K30" s="33"/>
      <c r="L30" s="97"/>
      <c r="M30" s="98"/>
      <c r="N30" s="92"/>
      <c r="O30" s="92"/>
      <c r="P30" s="92"/>
      <c r="Q30" s="92"/>
      <c r="R30" s="92"/>
      <c r="S30" s="92"/>
      <c r="T30" s="92"/>
      <c r="U30" s="92"/>
    </row>
    <row r="31" spans="3:45" x14ac:dyDescent="0.25">
      <c r="D31" s="92"/>
      <c r="E31" s="93"/>
      <c r="F31" s="94"/>
      <c r="G31" s="33"/>
      <c r="H31" s="95"/>
      <c r="I31" s="33"/>
      <c r="J31" s="96"/>
      <c r="K31" s="33"/>
      <c r="L31" s="97"/>
      <c r="M31" s="98"/>
      <c r="N31" s="92"/>
      <c r="O31" s="92"/>
      <c r="P31" s="92"/>
      <c r="Q31" s="92"/>
      <c r="R31" s="92"/>
      <c r="S31" s="92"/>
      <c r="T31" s="92"/>
      <c r="U31" s="92"/>
    </row>
    <row r="32" spans="3:45" x14ac:dyDescent="0.25">
      <c r="D32" s="92"/>
      <c r="E32" s="93"/>
      <c r="F32" s="94"/>
      <c r="G32" s="33"/>
      <c r="H32" s="95"/>
      <c r="I32" s="33"/>
      <c r="J32" s="96"/>
      <c r="K32" s="33"/>
      <c r="L32" s="97"/>
      <c r="M32" s="98"/>
      <c r="N32" s="92"/>
      <c r="O32" s="92"/>
      <c r="P32" s="92"/>
      <c r="Q32" s="92"/>
      <c r="R32" s="92"/>
      <c r="S32" s="92"/>
      <c r="T32" s="92"/>
      <c r="U32" s="92"/>
    </row>
    <row r="33" spans="4:21" x14ac:dyDescent="0.25">
      <c r="D33" s="92"/>
      <c r="E33" s="93"/>
      <c r="F33" s="94"/>
      <c r="G33" s="33"/>
      <c r="H33" s="95"/>
      <c r="I33" s="33"/>
      <c r="J33" s="96"/>
      <c r="K33" s="33"/>
      <c r="L33" s="97"/>
      <c r="M33" s="98"/>
      <c r="N33" s="92"/>
      <c r="O33" s="92"/>
      <c r="P33" s="92"/>
      <c r="Q33" s="92"/>
      <c r="R33" s="92"/>
      <c r="S33" s="92"/>
      <c r="T33" s="92"/>
      <c r="U33" s="92"/>
    </row>
    <row r="34" spans="4:2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 spans="4:21" x14ac:dyDescent="0.25"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 spans="4:2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4:2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4:21" x14ac:dyDescent="0.25"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</sheetData>
  <sheetProtection selectLockedCells="1"/>
  <mergeCells count="135"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AA26:AC26"/>
    <mergeCell ref="O16:R16"/>
    <mergeCell ref="S16:U16"/>
    <mergeCell ref="O17:R17"/>
    <mergeCell ref="S17:U17"/>
    <mergeCell ref="C19:D21"/>
    <mergeCell ref="J21:K23"/>
    <mergeCell ref="L21:L23"/>
    <mergeCell ref="C16:C17"/>
    <mergeCell ref="D16:D17"/>
    <mergeCell ref="E16:E17"/>
    <mergeCell ref="K16:K17"/>
    <mergeCell ref="L16:L17"/>
    <mergeCell ref="M16:M17"/>
    <mergeCell ref="AH13:AH14"/>
    <mergeCell ref="C14:C15"/>
    <mergeCell ref="D14:D15"/>
    <mergeCell ref="E14:E15"/>
    <mergeCell ref="K14:K15"/>
    <mergeCell ref="L14:L15"/>
    <mergeCell ref="M14:M15"/>
    <mergeCell ref="O15:R15"/>
    <mergeCell ref="S15:U15"/>
    <mergeCell ref="AB13:AB14"/>
    <mergeCell ref="AC13:AC14"/>
    <mergeCell ref="AD13:AD14"/>
    <mergeCell ref="AE13:AE14"/>
    <mergeCell ref="AF13:AF14"/>
    <mergeCell ref="AG13:AG14"/>
    <mergeCell ref="S13:S14"/>
    <mergeCell ref="T13:T14"/>
    <mergeCell ref="U13:U14"/>
    <mergeCell ref="V13:V14"/>
    <mergeCell ref="Z13:Z14"/>
    <mergeCell ref="AA13:AA14"/>
    <mergeCell ref="M12:M13"/>
    <mergeCell ref="N13:N14"/>
    <mergeCell ref="O13:O14"/>
    <mergeCell ref="P13:P14"/>
    <mergeCell ref="Q13:Q14"/>
    <mergeCell ref="R13:R14"/>
    <mergeCell ref="AD11:AD12"/>
    <mergeCell ref="AE11:AE12"/>
    <mergeCell ref="AF11:AF12"/>
    <mergeCell ref="AG11:AG12"/>
    <mergeCell ref="AH11:AH12"/>
    <mergeCell ref="C12:C13"/>
    <mergeCell ref="D12:D13"/>
    <mergeCell ref="E12:E13"/>
    <mergeCell ref="K12:K13"/>
    <mergeCell ref="L12:L13"/>
    <mergeCell ref="U11:U12"/>
    <mergeCell ref="V11:V12"/>
    <mergeCell ref="Z11:Z12"/>
    <mergeCell ref="AA11:AA12"/>
    <mergeCell ref="AB11:AB12"/>
    <mergeCell ref="AC11:AC12"/>
    <mergeCell ref="O11:O12"/>
    <mergeCell ref="P11:P12"/>
    <mergeCell ref="Q11:Q12"/>
    <mergeCell ref="R11:R12"/>
    <mergeCell ref="S11:S12"/>
    <mergeCell ref="T11:T12"/>
    <mergeCell ref="AF9:AF10"/>
    <mergeCell ref="AG9:AG10"/>
    <mergeCell ref="AH9:AH10"/>
    <mergeCell ref="C10:C11"/>
    <mergeCell ref="D10:D11"/>
    <mergeCell ref="E10:E11"/>
    <mergeCell ref="K10:K11"/>
    <mergeCell ref="L10:L11"/>
    <mergeCell ref="M10:M11"/>
    <mergeCell ref="N11:N12"/>
    <mergeCell ref="Z9:Z10"/>
    <mergeCell ref="AA9:AA10"/>
    <mergeCell ref="AB9:AB10"/>
    <mergeCell ref="AC9:AC10"/>
    <mergeCell ref="AD9:AD10"/>
    <mergeCell ref="AE9:AE10"/>
    <mergeCell ref="Q9:Q10"/>
    <mergeCell ref="R9:R10"/>
    <mergeCell ref="S9:S10"/>
    <mergeCell ref="T9:T10"/>
    <mergeCell ref="U9:U10"/>
    <mergeCell ref="V9:V10"/>
    <mergeCell ref="G8:G9"/>
    <mergeCell ref="AH7:AH8"/>
    <mergeCell ref="C8:C9"/>
    <mergeCell ref="D8:D9"/>
    <mergeCell ref="E8:E9"/>
    <mergeCell ref="K8:K9"/>
    <mergeCell ref="L8:L9"/>
    <mergeCell ref="M8:M9"/>
    <mergeCell ref="N9:N10"/>
    <mergeCell ref="O9:O10"/>
    <mergeCell ref="P9:P10"/>
    <mergeCell ref="AB7:AB8"/>
    <mergeCell ref="AC7:AC8"/>
    <mergeCell ref="AD7:AD8"/>
    <mergeCell ref="AE7:AE8"/>
    <mergeCell ref="AF7:AF8"/>
    <mergeCell ref="AG7:AG8"/>
    <mergeCell ref="S7:S8"/>
    <mergeCell ref="T7:T8"/>
    <mergeCell ref="U7:U8"/>
    <mergeCell ref="V7:V8"/>
    <mergeCell ref="Z7:Z8"/>
    <mergeCell ref="AA7:AA8"/>
    <mergeCell ref="M6:M7"/>
    <mergeCell ref="N7:N8"/>
    <mergeCell ref="O7:O8"/>
    <mergeCell ref="P7:P8"/>
    <mergeCell ref="Q7:Q8"/>
    <mergeCell ref="R7:R8"/>
    <mergeCell ref="C2:V3"/>
    <mergeCell ref="C4:J4"/>
    <mergeCell ref="K4:M4"/>
    <mergeCell ref="N4:V5"/>
    <mergeCell ref="G5:J5"/>
    <mergeCell ref="C6:C7"/>
    <mergeCell ref="D6:D7"/>
    <mergeCell ref="E6:E7"/>
    <mergeCell ref="K6:K7"/>
    <mergeCell ref="L6:L7"/>
    <mergeCell ref="G6:G7"/>
  </mergeCells>
  <conditionalFormatting sqref="H28:H33">
    <cfRule type="cellIs" dxfId="3" priority="1" stopIfTrue="1" operator="equal">
      <formula>"HOY!"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112</vt:i4>
      </vt:variant>
    </vt:vector>
  </HeadingPairs>
  <TitlesOfParts>
    <vt:vector size="125" baseType="lpstr">
      <vt:lpstr>Reglas Polla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Cuadro Final</vt:lpstr>
      <vt:lpstr>Goleador</vt:lpstr>
      <vt:lpstr>Puntuación Total</vt:lpstr>
      <vt:lpstr>DB_PARTIDOS</vt:lpstr>
      <vt:lpstr>'Grupo B'!Auxi1</vt:lpstr>
      <vt:lpstr>'Grupo C'!Auxi1</vt:lpstr>
      <vt:lpstr>'Grupo D'!Auxi1</vt:lpstr>
      <vt:lpstr>'Grupo E'!Auxi1</vt:lpstr>
      <vt:lpstr>'Grupo F'!Auxi1</vt:lpstr>
      <vt:lpstr>'Grupo G'!Auxi1</vt:lpstr>
      <vt:lpstr>'Grupo H'!Auxi1</vt:lpstr>
      <vt:lpstr>Auxi1</vt:lpstr>
      <vt:lpstr>'Grupo B'!Auxi2</vt:lpstr>
      <vt:lpstr>'Grupo C'!Auxi2</vt:lpstr>
      <vt:lpstr>'Grupo D'!Auxi2</vt:lpstr>
      <vt:lpstr>'Grupo E'!Auxi2</vt:lpstr>
      <vt:lpstr>'Grupo F'!Auxi2</vt:lpstr>
      <vt:lpstr>'Grupo G'!Auxi2</vt:lpstr>
      <vt:lpstr>'Grupo H'!Auxi2</vt:lpstr>
      <vt:lpstr>Auxi2</vt:lpstr>
      <vt:lpstr>'Grupo B'!Auxi3</vt:lpstr>
      <vt:lpstr>'Grupo C'!Auxi3</vt:lpstr>
      <vt:lpstr>'Grupo D'!Auxi3</vt:lpstr>
      <vt:lpstr>'Grupo E'!Auxi3</vt:lpstr>
      <vt:lpstr>'Grupo F'!Auxi3</vt:lpstr>
      <vt:lpstr>'Grupo G'!Auxi3</vt:lpstr>
      <vt:lpstr>'Grupo H'!Auxi3</vt:lpstr>
      <vt:lpstr>Auxi3</vt:lpstr>
      <vt:lpstr>'Grupo B'!DG</vt:lpstr>
      <vt:lpstr>'Grupo C'!DG</vt:lpstr>
      <vt:lpstr>'Grupo D'!DG</vt:lpstr>
      <vt:lpstr>'Grupo E'!DG</vt:lpstr>
      <vt:lpstr>'Grupo F'!DG</vt:lpstr>
      <vt:lpstr>'Grupo G'!DG</vt:lpstr>
      <vt:lpstr>'Grupo H'!DG</vt:lpstr>
      <vt:lpstr>DG</vt:lpstr>
      <vt:lpstr>'Grupo B'!Empatados</vt:lpstr>
      <vt:lpstr>'Grupo C'!Empatados</vt:lpstr>
      <vt:lpstr>'Grupo D'!Empatados</vt:lpstr>
      <vt:lpstr>'Grupo E'!Empatados</vt:lpstr>
      <vt:lpstr>'Grupo F'!Empatados</vt:lpstr>
      <vt:lpstr>'Grupo G'!Empatados</vt:lpstr>
      <vt:lpstr>'Grupo H'!Empatados</vt:lpstr>
      <vt:lpstr>Empatados</vt:lpstr>
      <vt:lpstr>'Grupo B'!Equipos</vt:lpstr>
      <vt:lpstr>'Grupo C'!Equipos</vt:lpstr>
      <vt:lpstr>'Grupo D'!Equipos</vt:lpstr>
      <vt:lpstr>'Grupo E'!Equipos</vt:lpstr>
      <vt:lpstr>'Grupo F'!Equipos</vt:lpstr>
      <vt:lpstr>'Grupo G'!Equipos</vt:lpstr>
      <vt:lpstr>'Grupo H'!Equipos</vt:lpstr>
      <vt:lpstr>Equipos</vt:lpstr>
      <vt:lpstr>'Grupo B'!Ganados</vt:lpstr>
      <vt:lpstr>'Grupo C'!Ganados</vt:lpstr>
      <vt:lpstr>'Grupo D'!Ganados</vt:lpstr>
      <vt:lpstr>'Grupo E'!Ganados</vt:lpstr>
      <vt:lpstr>'Grupo F'!Ganados</vt:lpstr>
      <vt:lpstr>'Grupo G'!Ganados</vt:lpstr>
      <vt:lpstr>'Grupo H'!Ganados</vt:lpstr>
      <vt:lpstr>Ganados</vt:lpstr>
      <vt:lpstr>'Grupo B'!GC</vt:lpstr>
      <vt:lpstr>'Grupo C'!GC</vt:lpstr>
      <vt:lpstr>'Grupo D'!GC</vt:lpstr>
      <vt:lpstr>'Grupo E'!GC</vt:lpstr>
      <vt:lpstr>'Grupo F'!GC</vt:lpstr>
      <vt:lpstr>'Grupo G'!GC</vt:lpstr>
      <vt:lpstr>'Grupo H'!GC</vt:lpstr>
      <vt:lpstr>GC</vt:lpstr>
      <vt:lpstr>'Grupo B'!GF</vt:lpstr>
      <vt:lpstr>'Grupo C'!GF</vt:lpstr>
      <vt:lpstr>'Grupo D'!GF</vt:lpstr>
      <vt:lpstr>'Grupo E'!GF</vt:lpstr>
      <vt:lpstr>'Grupo F'!GF</vt:lpstr>
      <vt:lpstr>'Grupo G'!GF</vt:lpstr>
      <vt:lpstr>'Grupo H'!GF</vt:lpstr>
      <vt:lpstr>GF</vt:lpstr>
      <vt:lpstr>'Grupo B'!Jera</vt:lpstr>
      <vt:lpstr>'Grupo C'!Jera</vt:lpstr>
      <vt:lpstr>'Grupo D'!Jera</vt:lpstr>
      <vt:lpstr>'Grupo E'!Jera</vt:lpstr>
      <vt:lpstr>'Grupo F'!Jera</vt:lpstr>
      <vt:lpstr>'Grupo G'!Jera</vt:lpstr>
      <vt:lpstr>'Grupo H'!Jera</vt:lpstr>
      <vt:lpstr>Jera</vt:lpstr>
      <vt:lpstr>'Grupo B'!Jera2</vt:lpstr>
      <vt:lpstr>'Grupo C'!Jera2</vt:lpstr>
      <vt:lpstr>'Grupo D'!Jera2</vt:lpstr>
      <vt:lpstr>'Grupo E'!Jera2</vt:lpstr>
      <vt:lpstr>'Grupo F'!Jera2</vt:lpstr>
      <vt:lpstr>'Grupo G'!Jera2</vt:lpstr>
      <vt:lpstr>'Grupo H'!Jera2</vt:lpstr>
      <vt:lpstr>Jera2</vt:lpstr>
      <vt:lpstr>'Grupo B'!Perdidos</vt:lpstr>
      <vt:lpstr>'Grupo C'!Perdidos</vt:lpstr>
      <vt:lpstr>'Grupo D'!Perdidos</vt:lpstr>
      <vt:lpstr>'Grupo E'!Perdidos</vt:lpstr>
      <vt:lpstr>'Grupo F'!Perdidos</vt:lpstr>
      <vt:lpstr>'Grupo G'!Perdidos</vt:lpstr>
      <vt:lpstr>'Grupo H'!Perdidos</vt:lpstr>
      <vt:lpstr>Perdidos</vt:lpstr>
      <vt:lpstr>'Grupo B'!PJ</vt:lpstr>
      <vt:lpstr>'Grupo C'!PJ</vt:lpstr>
      <vt:lpstr>'Grupo D'!PJ</vt:lpstr>
      <vt:lpstr>'Grupo E'!PJ</vt:lpstr>
      <vt:lpstr>'Grupo F'!PJ</vt:lpstr>
      <vt:lpstr>'Grupo G'!PJ</vt:lpstr>
      <vt:lpstr>'Grupo H'!PJ</vt:lpstr>
      <vt:lpstr>PJ</vt:lpstr>
      <vt:lpstr>'Grupo B'!PTS</vt:lpstr>
      <vt:lpstr>'Grupo C'!PTS</vt:lpstr>
      <vt:lpstr>'Grupo D'!PTS</vt:lpstr>
      <vt:lpstr>'Grupo E'!PTS</vt:lpstr>
      <vt:lpstr>'Grupo F'!PTS</vt:lpstr>
      <vt:lpstr>'Grupo G'!PTS</vt:lpstr>
      <vt:lpstr>'Grupo H'!PTS</vt:lpstr>
      <vt:lpstr>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Rodas</dc:creator>
  <cp:lastModifiedBy>NA</cp:lastModifiedBy>
  <dcterms:created xsi:type="dcterms:W3CDTF">2014-03-28T21:49:22Z</dcterms:created>
  <dcterms:modified xsi:type="dcterms:W3CDTF">2022-11-08T23:57:57Z</dcterms:modified>
</cp:coreProperties>
</file>