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"/>
    </mc:Choice>
  </mc:AlternateContent>
  <bookViews>
    <workbookView xWindow="0" yWindow="0" windowWidth="20490" windowHeight="7755" tabRatio="1000" activeTab="1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  <externalReference r:id="rId15"/>
    <externalReference r:id="rId16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M21" i="20" l="1"/>
  <c r="M20" i="20"/>
  <c r="D9" i="19" l="1"/>
  <c r="D8" i="19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H3" i="20" l="1"/>
  <c r="I3" i="20"/>
  <c r="H4" i="20"/>
  <c r="I4" i="20"/>
  <c r="H5" i="20"/>
  <c r="I5" i="20"/>
  <c r="H6" i="20"/>
  <c r="I6" i="20"/>
  <c r="H7" i="20"/>
  <c r="I7" i="20"/>
  <c r="H8" i="20"/>
  <c r="H7" i="12" s="1"/>
  <c r="I8" i="20"/>
  <c r="J17" i="12" s="1"/>
  <c r="H9" i="20"/>
  <c r="I9" i="20"/>
  <c r="H10" i="20"/>
  <c r="I10" i="20"/>
  <c r="H11" i="20"/>
  <c r="I11" i="20"/>
  <c r="H12" i="20"/>
  <c r="I12" i="20"/>
  <c r="H13" i="20"/>
  <c r="I13" i="20"/>
  <c r="H14" i="20"/>
  <c r="H15" i="13" s="1"/>
  <c r="I14" i="20"/>
  <c r="J17" i="13" s="1"/>
  <c r="H15" i="20"/>
  <c r="I15" i="20"/>
  <c r="H16" i="20"/>
  <c r="I16" i="20"/>
  <c r="H17" i="20"/>
  <c r="I17" i="20"/>
  <c r="H18" i="20"/>
  <c r="I18" i="20"/>
  <c r="H19" i="20"/>
  <c r="I19" i="20"/>
  <c r="H20" i="20"/>
  <c r="H13" i="14" s="1"/>
  <c r="I20" i="20"/>
  <c r="J17" i="14" s="1"/>
  <c r="H21" i="20"/>
  <c r="I21" i="20"/>
  <c r="H22" i="20"/>
  <c r="I22" i="20"/>
  <c r="H23" i="20"/>
  <c r="I23" i="20"/>
  <c r="H24" i="20"/>
  <c r="I24" i="20"/>
  <c r="H25" i="20"/>
  <c r="I25" i="20"/>
  <c r="H26" i="20"/>
  <c r="H11" i="15" s="1"/>
  <c r="I26" i="20"/>
  <c r="J15" i="15" s="1"/>
  <c r="H27" i="20"/>
  <c r="I27" i="20"/>
  <c r="H28" i="20"/>
  <c r="I28" i="20"/>
  <c r="H29" i="20"/>
  <c r="I29" i="20"/>
  <c r="H30" i="20"/>
  <c r="I30" i="20"/>
  <c r="H31" i="20"/>
  <c r="I31" i="20"/>
  <c r="H32" i="20"/>
  <c r="H17" i="16" s="1"/>
  <c r="I32" i="20"/>
  <c r="J17" i="16" s="1"/>
  <c r="H33" i="20"/>
  <c r="I33" i="20"/>
  <c r="H34" i="20"/>
  <c r="I34" i="20"/>
  <c r="H35" i="20"/>
  <c r="I35" i="20"/>
  <c r="H36" i="20"/>
  <c r="I36" i="20"/>
  <c r="H37" i="20"/>
  <c r="I37" i="20"/>
  <c r="H38" i="20"/>
  <c r="H7" i="17" s="1"/>
  <c r="I38" i="20"/>
  <c r="J17" i="17" s="1"/>
  <c r="H39" i="20"/>
  <c r="I39" i="20"/>
  <c r="H40" i="20"/>
  <c r="I40" i="20"/>
  <c r="H41" i="20"/>
  <c r="I41" i="20"/>
  <c r="H42" i="20"/>
  <c r="I42" i="20"/>
  <c r="H43" i="20"/>
  <c r="I43" i="20"/>
  <c r="H44" i="20"/>
  <c r="H13" i="18" s="1"/>
  <c r="I44" i="20"/>
  <c r="J17" i="18" s="1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I2" i="20"/>
  <c r="H2" i="20"/>
  <c r="H7" i="1" s="1"/>
  <c r="H7" i="15"/>
  <c r="H7" i="16"/>
  <c r="H7" i="13"/>
  <c r="J17" i="15"/>
  <c r="H17" i="14"/>
  <c r="H17" i="15"/>
  <c r="H17" i="18"/>
  <c r="H15" i="12"/>
  <c r="H15" i="15"/>
  <c r="H15" i="16"/>
  <c r="H13" i="12"/>
  <c r="H13" i="13"/>
  <c r="H13" i="16"/>
  <c r="H13" i="17"/>
  <c r="H11" i="13"/>
  <c r="H11" i="14"/>
  <c r="H11" i="17"/>
  <c r="H11" i="18"/>
  <c r="H9" i="14"/>
  <c r="H9" i="15"/>
  <c r="H9" i="18"/>
  <c r="J16" i="12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H9" i="17" l="1"/>
  <c r="H9" i="13"/>
  <c r="H11" i="16"/>
  <c r="H11" i="12"/>
  <c r="H13" i="15"/>
  <c r="H15" i="18"/>
  <c r="H15" i="14"/>
  <c r="H17" i="17"/>
  <c r="K16" i="17" s="1"/>
  <c r="H17" i="13"/>
  <c r="H7" i="18"/>
  <c r="H7" i="14"/>
  <c r="H9" i="16"/>
  <c r="H9" i="12"/>
  <c r="H15" i="17"/>
  <c r="H17" i="12"/>
  <c r="J11" i="1"/>
  <c r="J11" i="15"/>
  <c r="J7" i="15"/>
  <c r="J13" i="15"/>
  <c r="J9" i="15"/>
  <c r="K8" i="15" s="1"/>
  <c r="H9" i="1"/>
  <c r="H11" i="1"/>
  <c r="H13" i="1"/>
  <c r="H15" i="1"/>
  <c r="AE7" i="1" s="1"/>
  <c r="H17" i="1"/>
  <c r="J7" i="1"/>
  <c r="J15" i="1"/>
  <c r="J9" i="1"/>
  <c r="J13" i="1"/>
  <c r="J17" i="1"/>
  <c r="J7" i="18"/>
  <c r="K6" i="18" s="1"/>
  <c r="J7" i="14"/>
  <c r="K6" i="14" s="1"/>
  <c r="J9" i="18"/>
  <c r="J9" i="14"/>
  <c r="J11" i="18"/>
  <c r="K10" i="18" s="1"/>
  <c r="J11" i="14"/>
  <c r="K10" i="14" s="1"/>
  <c r="J13" i="18"/>
  <c r="K12" i="18" s="1"/>
  <c r="J13" i="14"/>
  <c r="K12" i="14" s="1"/>
  <c r="J15" i="18"/>
  <c r="K14" i="18" s="1"/>
  <c r="J15" i="14"/>
  <c r="K14" i="14" s="1"/>
  <c r="K16" i="13"/>
  <c r="J7" i="17"/>
  <c r="K6" i="17" s="1"/>
  <c r="J7" i="13"/>
  <c r="K6" i="13" s="1"/>
  <c r="J9" i="17"/>
  <c r="K8" i="17" s="1"/>
  <c r="J9" i="13"/>
  <c r="K8" i="13" s="1"/>
  <c r="J11" i="17"/>
  <c r="K10" i="17" s="1"/>
  <c r="J11" i="13"/>
  <c r="K10" i="13" s="1"/>
  <c r="J13" i="17"/>
  <c r="K12" i="17" s="1"/>
  <c r="J13" i="13"/>
  <c r="K12" i="13" s="1"/>
  <c r="J15" i="17"/>
  <c r="K14" i="17" s="1"/>
  <c r="J15" i="13"/>
  <c r="K14" i="13" s="1"/>
  <c r="K16" i="16"/>
  <c r="K16" i="12"/>
  <c r="J7" i="16"/>
  <c r="K6" i="16" s="1"/>
  <c r="J7" i="12"/>
  <c r="K6" i="12" s="1"/>
  <c r="J9" i="16"/>
  <c r="J9" i="12"/>
  <c r="K8" i="12" s="1"/>
  <c r="J11" i="16"/>
  <c r="K10" i="16" s="1"/>
  <c r="J11" i="12"/>
  <c r="J13" i="16"/>
  <c r="K12" i="16" s="1"/>
  <c r="J13" i="12"/>
  <c r="K12" i="12" s="1"/>
  <c r="J15" i="16"/>
  <c r="K14" i="16" s="1"/>
  <c r="J15" i="12"/>
  <c r="K14" i="12" s="1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K10" i="12" l="1"/>
  <c r="K8" i="16"/>
  <c r="AC7" i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Z13" i="13" s="1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<sst xmlns="http://schemas.openxmlformats.org/spreadsheetml/2006/main" count="1087" uniqueCount="246">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</sst>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3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39" xfId="0" applyFont="1" applyFill="1" applyBorder="1" applyAlignment="1" applyProtection="1">
      <alignment horizontal="center" vertical="center"/>
      <protection hidden="1"/>
    </xf>
    <xf numFmtId="0" fontId="0" fillId="36" borderId="80" xfId="0" applyFont="1" applyFill="1" applyBorder="1" applyAlignment="1" applyProtection="1">
      <alignment horizontal="center" vertical="center"/>
      <protection hidden="1"/>
    </xf>
    <xf numFmtId="0" fontId="0" fillId="36" borderId="10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2" xfId="0" applyNumberFormat="1" applyFont="1" applyFill="1" applyBorder="1" applyAlignment="1" applyProtection="1">
      <alignment horizontal="center"/>
      <protection hidden="1"/>
    </xf>
    <xf numFmtId="20" fontId="1" fillId="40" borderId="83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locked="0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8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4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4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4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4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4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1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/>
    </xf>
    <xf numFmtId="0" fontId="5" fillId="39" borderId="7" xfId="0" applyFont="1" applyFill="1" applyBorder="1" applyAlignment="1">
      <alignment horizontal="center" vertical="center" wrapText="1"/>
    </xf>
    <xf numFmtId="0" fontId="5" fillId="39" borderId="37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="" xmlns:a16="http://schemas.microsoft.com/office/drawing/2014/main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="" xmlns:a16="http://schemas.microsoft.com/office/drawing/2014/main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="" xmlns:a16="http://schemas.microsoft.com/office/drawing/2014/main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la%20Qatar%202022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IBIDAS/Polla%20Qatar%202022_M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 refreshError="1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Cuadro Final"/>
      <sheetName val="Goleador"/>
      <sheetName val="Puntuación Total"/>
      <sheetName val="DB_PAR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DB_PAR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D8" t="str">
            <v>Neymar</v>
          </cell>
        </row>
        <row r="9">
          <cell r="D9" t="str">
            <v>Mbappe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>
      <calculatedColumnFormula>IF([2]!Tabla1[[#This Row],[GOLES_LOCAL_REAL]]="","",[2]!Tabla1[[#This Row],[GOLES_LOCAL_REAL]])</calculatedColumnFormula>
    </tableColumn>
    <tableColumn id="9" name="GOLES_VISITANTE_REAL">
      <calculatedColumnFormula>IF([2]!Tabla1[[#This Row],[GOLES_VISITANTE_REAL]]="","",[2]!Tabla1[[#This Row],[GOLES_VISITANTE_REAL]])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>
      <calculatedColumnFormula>[3]Goleador!D8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G11" sqref="G11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28" t="s">
        <v>132</v>
      </c>
      <c r="C2" s="329"/>
    </row>
    <row r="3" spans="2:3" ht="15" customHeight="1" x14ac:dyDescent="0.25">
      <c r="B3" s="344" t="s">
        <v>159</v>
      </c>
      <c r="C3" s="345"/>
    </row>
    <row r="4" spans="2:3" ht="17.25" customHeight="1" thickBot="1" x14ac:dyDescent="0.3">
      <c r="B4" s="350"/>
      <c r="C4" s="351"/>
    </row>
    <row r="5" spans="2:3" ht="16.5" thickBot="1" x14ac:dyDescent="0.3">
      <c r="B5" s="328" t="s">
        <v>113</v>
      </c>
      <c r="C5" s="329"/>
    </row>
    <row r="6" spans="2:3" x14ac:dyDescent="0.25">
      <c r="B6" s="362" t="s">
        <v>126</v>
      </c>
      <c r="C6" s="363"/>
    </row>
    <row r="7" spans="2:3" ht="15" customHeight="1" x14ac:dyDescent="0.25">
      <c r="B7" s="364" t="s">
        <v>161</v>
      </c>
      <c r="C7" s="365"/>
    </row>
    <row r="8" spans="2:3" x14ac:dyDescent="0.25">
      <c r="B8" s="364"/>
      <c r="C8" s="365"/>
    </row>
    <row r="9" spans="2:3" ht="15" customHeight="1" x14ac:dyDescent="0.25">
      <c r="B9" s="366" t="s">
        <v>211</v>
      </c>
      <c r="C9" s="367"/>
    </row>
    <row r="10" spans="2:3" x14ac:dyDescent="0.25">
      <c r="B10" s="366"/>
      <c r="C10" s="367"/>
    </row>
    <row r="11" spans="2:3" ht="15" customHeight="1" x14ac:dyDescent="0.25">
      <c r="B11" s="366" t="s">
        <v>128</v>
      </c>
      <c r="C11" s="367"/>
    </row>
    <row r="12" spans="2:3" ht="15" customHeight="1" x14ac:dyDescent="0.25">
      <c r="B12" s="368" t="s">
        <v>162</v>
      </c>
      <c r="C12" s="369"/>
    </row>
    <row r="13" spans="2:3" ht="15" customHeight="1" x14ac:dyDescent="0.25">
      <c r="B13" s="370" t="s">
        <v>163</v>
      </c>
      <c r="C13" s="371"/>
    </row>
    <row r="14" spans="2:3" ht="15" customHeight="1" x14ac:dyDescent="0.25">
      <c r="B14" s="368" t="s">
        <v>164</v>
      </c>
      <c r="C14" s="369"/>
    </row>
    <row r="15" spans="2:3" ht="15" customHeight="1" x14ac:dyDescent="0.25">
      <c r="B15" s="370" t="s">
        <v>165</v>
      </c>
      <c r="C15" s="371"/>
    </row>
    <row r="16" spans="2:3" ht="15" customHeight="1" x14ac:dyDescent="0.25">
      <c r="B16" s="372" t="s">
        <v>166</v>
      </c>
      <c r="C16" s="373"/>
    </row>
    <row r="17" spans="2:4" ht="15" customHeight="1" x14ac:dyDescent="0.25">
      <c r="B17" s="372" t="s">
        <v>167</v>
      </c>
      <c r="C17" s="373"/>
    </row>
    <row r="18" spans="2:4" x14ac:dyDescent="0.25">
      <c r="B18" s="348" t="s">
        <v>168</v>
      </c>
      <c r="C18" s="349"/>
    </row>
    <row r="19" spans="2:4" ht="16.5" thickBot="1" x14ac:dyDescent="0.3">
      <c r="B19" s="348"/>
      <c r="C19" s="349"/>
    </row>
    <row r="20" spans="2:4" ht="16.5" thickBot="1" x14ac:dyDescent="0.3">
      <c r="B20" s="328" t="s">
        <v>131</v>
      </c>
      <c r="C20" s="329"/>
    </row>
    <row r="21" spans="2:4" x14ac:dyDescent="0.25">
      <c r="B21" s="354" t="s">
        <v>169</v>
      </c>
      <c r="C21" s="355"/>
    </row>
    <row r="22" spans="2:4" ht="16.5" thickBot="1" x14ac:dyDescent="0.3">
      <c r="B22" s="356" t="s">
        <v>170</v>
      </c>
      <c r="C22" s="357"/>
    </row>
    <row r="23" spans="2:4" ht="15" customHeight="1" thickBot="1" x14ac:dyDescent="0.3">
      <c r="B23" s="328" t="s">
        <v>127</v>
      </c>
      <c r="C23" s="329"/>
    </row>
    <row r="24" spans="2:4" x14ac:dyDescent="0.25">
      <c r="B24" s="352" t="s">
        <v>129</v>
      </c>
      <c r="C24" s="353"/>
    </row>
    <row r="25" spans="2:4" ht="15" customHeight="1" x14ac:dyDescent="0.25">
      <c r="B25" s="326" t="s">
        <v>124</v>
      </c>
      <c r="C25" s="327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26" t="s">
        <v>125</v>
      </c>
      <c r="C30" s="327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26" t="s">
        <v>145</v>
      </c>
      <c r="C36" s="327"/>
    </row>
    <row r="37" spans="2:4" ht="16.5" thickBot="1" x14ac:dyDescent="0.3">
      <c r="B37" s="334" t="s">
        <v>160</v>
      </c>
      <c r="C37" s="335"/>
      <c r="D37" s="39">
        <v>10</v>
      </c>
    </row>
    <row r="38" spans="2:4" ht="15" customHeight="1" thickBot="1" x14ac:dyDescent="0.3">
      <c r="B38" s="328" t="s">
        <v>114</v>
      </c>
      <c r="C38" s="329"/>
    </row>
    <row r="39" spans="2:4" x14ac:dyDescent="0.25">
      <c r="B39" s="330" t="s">
        <v>133</v>
      </c>
      <c r="C39" s="331"/>
    </row>
    <row r="40" spans="2:4" x14ac:dyDescent="0.25">
      <c r="B40" s="332"/>
      <c r="C40" s="333"/>
    </row>
    <row r="41" spans="2:4" x14ac:dyDescent="0.25">
      <c r="B41" s="338" t="s">
        <v>174</v>
      </c>
      <c r="C41" s="339"/>
    </row>
    <row r="42" spans="2:4" x14ac:dyDescent="0.25">
      <c r="B42" s="340" t="s">
        <v>175</v>
      </c>
      <c r="C42" s="341"/>
    </row>
    <row r="43" spans="2:4" x14ac:dyDescent="0.25">
      <c r="B43" s="342" t="s">
        <v>176</v>
      </c>
      <c r="C43" s="343"/>
    </row>
    <row r="44" spans="2:4" ht="16.5" thickBot="1" x14ac:dyDescent="0.3">
      <c r="B44" s="336" t="s">
        <v>177</v>
      </c>
      <c r="C44" s="337"/>
    </row>
    <row r="45" spans="2:4" ht="15" customHeight="1" thickBot="1" x14ac:dyDescent="0.3">
      <c r="B45" s="328" t="s">
        <v>136</v>
      </c>
      <c r="C45" s="329"/>
    </row>
    <row r="46" spans="2:4" x14ac:dyDescent="0.25">
      <c r="B46" s="344" t="s">
        <v>134</v>
      </c>
      <c r="C46" s="345"/>
    </row>
    <row r="47" spans="2:4" ht="15" customHeight="1" x14ac:dyDescent="0.25">
      <c r="B47" s="346"/>
      <c r="C47" s="347"/>
    </row>
    <row r="48" spans="2:4" x14ac:dyDescent="0.25">
      <c r="B48" s="348" t="s">
        <v>178</v>
      </c>
      <c r="C48" s="349"/>
    </row>
    <row r="49" spans="2:3" ht="16.5" thickBot="1" x14ac:dyDescent="0.3">
      <c r="B49" s="350"/>
      <c r="C49" s="351"/>
    </row>
    <row r="50" spans="2:3" ht="15" customHeight="1" thickBot="1" x14ac:dyDescent="0.3">
      <c r="B50" s="328" t="s">
        <v>135</v>
      </c>
      <c r="C50" s="329"/>
    </row>
    <row r="51" spans="2:3" x14ac:dyDescent="0.25">
      <c r="B51" s="358" t="s">
        <v>137</v>
      </c>
      <c r="C51" s="359"/>
    </row>
    <row r="52" spans="2:3" x14ac:dyDescent="0.25">
      <c r="B52" s="360"/>
      <c r="C52" s="361"/>
    </row>
    <row r="53" spans="2:3" x14ac:dyDescent="0.25">
      <c r="B53" s="324" t="s">
        <v>181</v>
      </c>
      <c r="C53" s="325"/>
    </row>
    <row r="54" spans="2:3" x14ac:dyDescent="0.25">
      <c r="B54" s="324" t="s">
        <v>179</v>
      </c>
      <c r="C54" s="325"/>
    </row>
    <row r="55" spans="2:3" x14ac:dyDescent="0.25">
      <c r="B55" s="324" t="s">
        <v>180</v>
      </c>
      <c r="C55" s="325"/>
    </row>
  </sheetData>
  <sheetProtection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C5" sqref="C5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8" customFormat="1" x14ac:dyDescent="0.25">
      <c r="A2"/>
      <c r="B2" s="238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8" customFormat="1" ht="20.25" x14ac:dyDescent="0.35">
      <c r="A3"/>
      <c r="B3" s="239"/>
      <c r="C3" s="665" t="s">
        <v>29</v>
      </c>
      <c r="D3" s="665"/>
      <c r="E3" s="665"/>
      <c r="F3" s="666" t="s">
        <v>30</v>
      </c>
      <c r="G3" s="666"/>
      <c r="H3" s="666"/>
      <c r="I3" s="666" t="s">
        <v>31</v>
      </c>
      <c r="J3" s="666"/>
      <c r="K3" s="666"/>
      <c r="L3" s="666" t="s">
        <v>32</v>
      </c>
      <c r="M3" s="666"/>
      <c r="N3" s="666"/>
      <c r="O3" s="246" t="s">
        <v>33</v>
      </c>
      <c r="P3" s="666" t="s">
        <v>32</v>
      </c>
      <c r="Q3" s="666"/>
      <c r="R3" s="666"/>
      <c r="S3" s="666" t="s">
        <v>31</v>
      </c>
      <c r="T3" s="666"/>
      <c r="U3" s="666"/>
      <c r="V3" s="666" t="s">
        <v>30</v>
      </c>
      <c r="W3" s="666"/>
      <c r="X3" s="666"/>
      <c r="Y3" s="665" t="s">
        <v>29</v>
      </c>
      <c r="Z3" s="665"/>
      <c r="AA3" s="665"/>
      <c r="AB3" s="24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8" customFormat="1" ht="15.75" thickBot="1" x14ac:dyDescent="0.3">
      <c r="A4"/>
      <c r="B4" s="240"/>
      <c r="C4" s="248"/>
      <c r="D4" s="249" t="s">
        <v>50</v>
      </c>
      <c r="E4" s="249" t="s">
        <v>94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50"/>
      <c r="Q4" s="250"/>
      <c r="R4" s="250"/>
      <c r="S4" s="237"/>
      <c r="T4" s="237"/>
      <c r="U4" s="237"/>
      <c r="V4" s="237"/>
      <c r="W4" s="237"/>
      <c r="X4" s="237"/>
      <c r="Y4" s="251" t="s">
        <v>50</v>
      </c>
      <c r="Z4" s="251" t="s">
        <v>94</v>
      </c>
      <c r="AA4" s="252"/>
      <c r="AB4" s="25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41" t="s">
        <v>51</v>
      </c>
      <c r="C5" s="153" t="str">
        <f>'Grupo A'!$S$16</f>
        <v>Qatar</v>
      </c>
      <c r="D5" s="12"/>
      <c r="E5" s="12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50"/>
      <c r="Q5" s="250"/>
      <c r="R5" s="250"/>
      <c r="S5" s="237"/>
      <c r="T5" s="237"/>
      <c r="U5" s="237"/>
      <c r="V5" s="237"/>
      <c r="W5" s="237"/>
      <c r="X5" s="237"/>
      <c r="Y5" s="11"/>
      <c r="Z5" s="12"/>
      <c r="AA5" s="149" t="str">
        <f>'Grupo B'!$S$16</f>
        <v>Inglaterra</v>
      </c>
      <c r="AB5" s="299" t="s">
        <v>42</v>
      </c>
    </row>
    <row r="6" spans="1:93" s="148" customFormat="1" ht="15.6" customHeight="1" thickBot="1" x14ac:dyDescent="0.3">
      <c r="A6"/>
      <c r="B6" s="240"/>
      <c r="C6" s="254"/>
      <c r="D6" s="248"/>
      <c r="E6" s="248"/>
      <c r="F6" s="277"/>
      <c r="G6" s="671" t="s">
        <v>95</v>
      </c>
      <c r="H6" s="671"/>
      <c r="I6" s="237"/>
      <c r="J6" s="237"/>
      <c r="K6" s="237"/>
      <c r="L6" s="237"/>
      <c r="M6" s="237"/>
      <c r="N6" s="237"/>
      <c r="O6" s="279" t="s">
        <v>97</v>
      </c>
      <c r="P6" s="250"/>
      <c r="Q6" s="250"/>
      <c r="R6" s="250"/>
      <c r="S6" s="237"/>
      <c r="T6" s="237"/>
      <c r="U6" s="237"/>
      <c r="V6" s="671" t="s">
        <v>95</v>
      </c>
      <c r="W6" s="671"/>
      <c r="X6" s="280"/>
      <c r="Y6" s="300"/>
      <c r="Z6" s="248"/>
      <c r="AA6" s="260"/>
      <c r="AB6" s="25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40"/>
      <c r="C7" s="255" t="s">
        <v>200</v>
      </c>
      <c r="D7" s="669" t="s">
        <v>96</v>
      </c>
      <c r="E7" s="670"/>
      <c r="F7" s="21"/>
      <c r="G7" s="667" t="str">
        <f>IF(F8="","",IF(F7=F8,'Reglas Polla'!D31,0))</f>
        <v/>
      </c>
      <c r="H7" s="668"/>
      <c r="I7" s="237"/>
      <c r="J7" s="237"/>
      <c r="K7" s="237"/>
      <c r="L7" s="237"/>
      <c r="M7" s="237"/>
      <c r="N7" s="237"/>
      <c r="O7" s="689">
        <f>SUM(V7,V15,V23,V31,S27,P19,S11,M19,G31,J27,G23,G15,G7,J11,P14,P27)</f>
        <v>0</v>
      </c>
      <c r="P7" s="250"/>
      <c r="Q7" s="250"/>
      <c r="R7" s="250"/>
      <c r="S7" s="237"/>
      <c r="T7" s="237"/>
      <c r="U7" s="237"/>
      <c r="V7" s="667" t="str">
        <f>IF(X8="","",IF(X7=X8,'Reglas Polla'!D31,0))</f>
        <v/>
      </c>
      <c r="W7" s="668"/>
      <c r="X7" s="19"/>
      <c r="Y7" s="669" t="s">
        <v>96</v>
      </c>
      <c r="Z7" s="669"/>
      <c r="AA7" s="284" t="s">
        <v>192</v>
      </c>
      <c r="AB7" s="253"/>
    </row>
    <row r="8" spans="1:93" ht="15.6" customHeight="1" thickBot="1" x14ac:dyDescent="0.3">
      <c r="B8" s="240"/>
      <c r="C8" s="256" t="s">
        <v>201</v>
      </c>
      <c r="D8" s="669" t="s">
        <v>8</v>
      </c>
      <c r="E8" s="670"/>
      <c r="F8" s="153" t="str">
        <f>IF(OR(D5="",D10=""),"",IF(D5&gt;D10,C5,IF(D10&gt;D5,C10,IF(OR(E5="",E10=""),"",IF(E5&gt;E10,C5,IF(E10&gt;E5,C10,""))))))</f>
        <v/>
      </c>
      <c r="G8" s="12"/>
      <c r="H8" s="12"/>
      <c r="I8" s="237"/>
      <c r="J8" s="237"/>
      <c r="K8" s="237"/>
      <c r="L8" s="237"/>
      <c r="M8" s="237"/>
      <c r="N8" s="237"/>
      <c r="O8" s="690"/>
      <c r="P8" s="250"/>
      <c r="Q8" s="250"/>
      <c r="R8" s="250"/>
      <c r="S8" s="237"/>
      <c r="T8" s="237"/>
      <c r="U8" s="237"/>
      <c r="V8" s="11"/>
      <c r="W8" s="12"/>
      <c r="X8" s="150" t="str">
        <f>IF(OR(Y5="",Y10=""),"",IF(Y5&gt;Y10,AA5,IF(Y10&gt;Y5,AA10,IF(OR(Z5="",Z10=""),"",IF(Z5&gt;Z10,AA5,IF(Z10&gt;Z5,AA10,""))))))</f>
        <v/>
      </c>
      <c r="Y8" s="669" t="s">
        <v>8</v>
      </c>
      <c r="Z8" s="669"/>
      <c r="AA8" s="256" t="s">
        <v>203</v>
      </c>
      <c r="AB8" s="253"/>
    </row>
    <row r="9" spans="1:93" s="148" customFormat="1" ht="15.6" customHeight="1" thickBot="1" x14ac:dyDescent="0.3">
      <c r="A9"/>
      <c r="B9" s="240"/>
      <c r="C9" s="257"/>
      <c r="D9" s="258"/>
      <c r="E9" s="259"/>
      <c r="F9" s="260"/>
      <c r="G9" s="251" t="s">
        <v>50</v>
      </c>
      <c r="H9" s="261" t="s">
        <v>94</v>
      </c>
      <c r="I9" s="237"/>
      <c r="J9" s="237"/>
      <c r="K9" s="237"/>
      <c r="L9" s="237"/>
      <c r="M9" s="237"/>
      <c r="N9" s="278"/>
      <c r="O9" s="304"/>
      <c r="P9" s="250"/>
      <c r="Q9" s="250"/>
      <c r="R9" s="250"/>
      <c r="S9" s="237"/>
      <c r="T9" s="237"/>
      <c r="U9" s="278"/>
      <c r="V9" s="251" t="s">
        <v>50</v>
      </c>
      <c r="W9" s="251" t="s">
        <v>94</v>
      </c>
      <c r="X9" s="260"/>
      <c r="Y9" s="301"/>
      <c r="Z9" s="269"/>
      <c r="AA9" s="267"/>
      <c r="AB9" s="25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41" t="s">
        <v>34</v>
      </c>
      <c r="C10" s="153" t="str">
        <f>'Grupo B'!$S$17</f>
        <v>Gales</v>
      </c>
      <c r="D10" s="12"/>
      <c r="E10" s="16"/>
      <c r="F10" s="262"/>
      <c r="G10" s="263"/>
      <c r="H10" s="264"/>
      <c r="I10" s="237"/>
      <c r="J10" s="671" t="s">
        <v>95</v>
      </c>
      <c r="K10" s="671"/>
      <c r="L10" s="237"/>
      <c r="M10" s="237"/>
      <c r="N10" s="278"/>
      <c r="O10" s="304"/>
      <c r="P10" s="250"/>
      <c r="Q10" s="250"/>
      <c r="R10" s="250"/>
      <c r="S10" s="671" t="s">
        <v>95</v>
      </c>
      <c r="T10" s="671"/>
      <c r="U10" s="293"/>
      <c r="V10" s="263"/>
      <c r="W10" s="263"/>
      <c r="X10" s="291"/>
      <c r="Y10" s="11"/>
      <c r="Z10" s="12"/>
      <c r="AA10" s="149" t="str">
        <f>'Grupo A'!$S$17</f>
        <v>Senegal</v>
      </c>
      <c r="AB10" s="299" t="s">
        <v>52</v>
      </c>
    </row>
    <row r="11" spans="1:93" ht="15.6" customHeight="1" thickBot="1" x14ac:dyDescent="0.3">
      <c r="B11" s="240"/>
      <c r="C11" s="248"/>
      <c r="D11" s="251" t="s">
        <v>50</v>
      </c>
      <c r="E11" s="251" t="s">
        <v>94</v>
      </c>
      <c r="F11" s="255" t="s">
        <v>198</v>
      </c>
      <c r="G11" s="669" t="s">
        <v>96</v>
      </c>
      <c r="H11" s="670"/>
      <c r="I11" s="22"/>
      <c r="J11" s="667" t="str">
        <f>IF(I12="","",IF(I11=I12,'Reglas Polla'!D32,0))</f>
        <v/>
      </c>
      <c r="K11" s="668"/>
      <c r="L11" s="237"/>
      <c r="M11" s="237"/>
      <c r="N11" s="278"/>
      <c r="O11" s="304"/>
      <c r="P11" s="250"/>
      <c r="Q11" s="250"/>
      <c r="R11" s="250"/>
      <c r="S11" s="667" t="str">
        <f>IF(U12="","",IF(U11=U12,'Reglas Polla'!D32,0))</f>
        <v/>
      </c>
      <c r="T11" s="668"/>
      <c r="U11" s="19"/>
      <c r="V11" s="669" t="s">
        <v>96</v>
      </c>
      <c r="W11" s="669"/>
      <c r="X11" s="255" t="s">
        <v>192</v>
      </c>
      <c r="Y11" s="248" t="s">
        <v>50</v>
      </c>
      <c r="Z11" s="248" t="s">
        <v>94</v>
      </c>
      <c r="AA11" s="252"/>
      <c r="AB11" s="253"/>
    </row>
    <row r="12" spans="1:93" ht="15.6" customHeight="1" thickBot="1" x14ac:dyDescent="0.3">
      <c r="B12" s="240"/>
      <c r="C12" s="248"/>
      <c r="D12" s="251" t="s">
        <v>50</v>
      </c>
      <c r="E12" s="251" t="s">
        <v>94</v>
      </c>
      <c r="F12" s="256" t="s">
        <v>205</v>
      </c>
      <c r="G12" s="669" t="s">
        <v>8</v>
      </c>
      <c r="H12" s="670"/>
      <c r="I12" s="153" t="str">
        <f>IF(OR(G8="",G16=""),"",IF(G8&gt;G16,F8,IF(G16&gt;G8,F16,IF(OR(H8="",H16=""),"",IF(H8&gt;H16,F8,IF(H16&gt;H8,F16,""))))))</f>
        <v/>
      </c>
      <c r="J12" s="12"/>
      <c r="K12" s="12"/>
      <c r="L12" s="237"/>
      <c r="M12" s="237"/>
      <c r="N12" s="278"/>
      <c r="O12" s="686" t="s">
        <v>41</v>
      </c>
      <c r="P12" s="250"/>
      <c r="Q12" s="250"/>
      <c r="R12" s="281"/>
      <c r="S12" s="13"/>
      <c r="T12" s="12"/>
      <c r="U12" s="150" t="str">
        <f>IF(OR(V8="",V16=""),"",IF(V8&gt;V16,X8,IF(V16&gt;V8,X16,IF(OR(W8="",W16=""),"",IF(W8&gt;W16,X8,IF(W16&gt;W8,X16,""))))))</f>
        <v/>
      </c>
      <c r="V12" s="669" t="s">
        <v>8</v>
      </c>
      <c r="W12" s="669"/>
      <c r="X12" s="256" t="s">
        <v>206</v>
      </c>
      <c r="Y12" s="248" t="s">
        <v>50</v>
      </c>
      <c r="Z12" s="248" t="s">
        <v>94</v>
      </c>
      <c r="AA12" s="252"/>
      <c r="AB12" s="253"/>
    </row>
    <row r="13" spans="1:93" ht="15.6" customHeight="1" thickBot="1" x14ac:dyDescent="0.3">
      <c r="B13" s="241" t="s">
        <v>35</v>
      </c>
      <c r="C13" s="153" t="str">
        <f>'Grupo C'!$S$16</f>
        <v>Argentina</v>
      </c>
      <c r="D13" s="12"/>
      <c r="E13" s="12"/>
      <c r="F13" s="262"/>
      <c r="G13" s="265"/>
      <c r="H13" s="264"/>
      <c r="I13" s="260"/>
      <c r="J13" s="251" t="s">
        <v>50</v>
      </c>
      <c r="K13" s="261" t="s">
        <v>94</v>
      </c>
      <c r="L13" s="237"/>
      <c r="M13" s="237"/>
      <c r="N13" s="278"/>
      <c r="O13" s="687"/>
      <c r="P13" s="682" t="s">
        <v>95</v>
      </c>
      <c r="Q13" s="682"/>
      <c r="R13" s="281"/>
      <c r="S13" s="270" t="s">
        <v>50</v>
      </c>
      <c r="T13" s="251" t="s">
        <v>94</v>
      </c>
      <c r="U13" s="260"/>
      <c r="V13" s="294"/>
      <c r="W13" s="265"/>
      <c r="X13" s="291"/>
      <c r="Y13" s="11"/>
      <c r="Z13" s="12"/>
      <c r="AA13" s="149" t="str">
        <f>'Grupo D'!$S$16</f>
        <v>Francia</v>
      </c>
      <c r="AB13" s="299" t="s">
        <v>43</v>
      </c>
    </row>
    <row r="14" spans="1:93" ht="15.6" customHeight="1" thickBot="1" x14ac:dyDescent="0.3">
      <c r="B14" s="240"/>
      <c r="C14" s="260"/>
      <c r="D14" s="248"/>
      <c r="E14" s="266"/>
      <c r="F14" s="257"/>
      <c r="G14" s="671" t="s">
        <v>95</v>
      </c>
      <c r="H14" s="673"/>
      <c r="I14" s="262"/>
      <c r="J14" s="248"/>
      <c r="K14" s="264"/>
      <c r="L14" s="237"/>
      <c r="M14" s="669" t="s">
        <v>8</v>
      </c>
      <c r="N14" s="669"/>
      <c r="O14" s="152" t="str">
        <f>IF(OR(M20="",P20=""),"",IF(M20&gt;P20,L20,IF(P20&gt;M20,R20,IF(OR(N20="",Q20=""),"",IF(N20&gt;Q20,L20,IF(Q20&gt;N20,R20,""))))))</f>
        <v/>
      </c>
      <c r="P14" s="677" t="str">
        <f>IF(O14="","",IF(O15=O14,'Reglas Polla'!D35,0))</f>
        <v/>
      </c>
      <c r="Q14" s="678"/>
      <c r="R14" s="281"/>
      <c r="S14" s="248"/>
      <c r="T14" s="248"/>
      <c r="U14" s="291"/>
      <c r="V14" s="681" t="s">
        <v>95</v>
      </c>
      <c r="W14" s="682"/>
      <c r="X14" s="267"/>
      <c r="Y14" s="300"/>
      <c r="Z14" s="248"/>
      <c r="AA14" s="260"/>
      <c r="AB14" s="253"/>
    </row>
    <row r="15" spans="1:93" ht="15.6" customHeight="1" thickBot="1" x14ac:dyDescent="0.3">
      <c r="B15" s="240"/>
      <c r="C15" s="255" t="s">
        <v>195</v>
      </c>
      <c r="D15" s="669" t="s">
        <v>96</v>
      </c>
      <c r="E15" s="670"/>
      <c r="F15" s="21"/>
      <c r="G15" s="667" t="str">
        <f>IF(F16="","",IF(F15=F16,'Reglas Polla'!D31,0))</f>
        <v/>
      </c>
      <c r="H15" s="668"/>
      <c r="I15" s="262"/>
      <c r="J15" s="248"/>
      <c r="K15" s="264"/>
      <c r="L15" s="237"/>
      <c r="M15" s="669" t="s">
        <v>96</v>
      </c>
      <c r="N15" s="669"/>
      <c r="O15" s="18"/>
      <c r="P15" s="679" t="str">
        <f>IF(O16="","",IF(O15=O16,20,0))</f>
        <v/>
      </c>
      <c r="Q15" s="680"/>
      <c r="R15" s="281"/>
      <c r="S15" s="248"/>
      <c r="T15" s="248"/>
      <c r="U15" s="291"/>
      <c r="V15" s="675" t="str">
        <f>IF(X16="","",IF(X15=X16,'Reglas Polla'!D31,0))</f>
        <v/>
      </c>
      <c r="W15" s="676"/>
      <c r="X15" s="20"/>
      <c r="Y15" s="669" t="s">
        <v>96</v>
      </c>
      <c r="Z15" s="669"/>
      <c r="AA15" s="255" t="s">
        <v>193</v>
      </c>
      <c r="AB15" s="253"/>
    </row>
    <row r="16" spans="1:93" ht="15.6" customHeight="1" thickBot="1" x14ac:dyDescent="0.35">
      <c r="B16" s="240"/>
      <c r="C16" s="256" t="s">
        <v>201</v>
      </c>
      <c r="D16" s="669" t="s">
        <v>8</v>
      </c>
      <c r="E16" s="670"/>
      <c r="F16" s="153" t="str">
        <f>IF(OR(D13="",D18=""),"",IF(D13&gt;D18,C13,IF(D18&gt;D13,C18,IF(OR(E13="",E18=""),"",IF(E13&gt;E18,C13,IF(E18&gt;E13,C18,""))))))</f>
        <v/>
      </c>
      <c r="G16" s="12"/>
      <c r="H16" s="12"/>
      <c r="I16" s="262"/>
      <c r="J16" s="248"/>
      <c r="K16" s="264"/>
      <c r="L16" s="237"/>
      <c r="M16" s="669"/>
      <c r="N16" s="669"/>
      <c r="O16" s="286"/>
      <c r="P16" s="292"/>
      <c r="Q16" s="250"/>
      <c r="R16" s="281"/>
      <c r="S16" s="248"/>
      <c r="T16" s="248"/>
      <c r="U16" s="291"/>
      <c r="V16" s="11"/>
      <c r="W16" s="12"/>
      <c r="X16" s="150" t="str">
        <f>IF(OR(Y13="",Y18=""),"",IF(Y13&gt;Y18,AA13,IF(Y18&gt;Y13,AA18,IF(OR(Z13="",Z18=""),"",IF(Z13&gt;Z18,AA13,IF(Z18&gt;Z13,AA18,""))))))</f>
        <v/>
      </c>
      <c r="Y16" s="669" t="s">
        <v>8</v>
      </c>
      <c r="Z16" s="669"/>
      <c r="AA16" s="256" t="s">
        <v>203</v>
      </c>
      <c r="AB16" s="253"/>
    </row>
    <row r="17" spans="2:28" ht="15.6" customHeight="1" thickBot="1" x14ac:dyDescent="0.3">
      <c r="B17" s="240"/>
      <c r="C17" s="267"/>
      <c r="D17" s="248"/>
      <c r="E17" s="268"/>
      <c r="F17" s="276"/>
      <c r="G17" s="251" t="s">
        <v>50</v>
      </c>
      <c r="H17" s="251" t="s">
        <v>94</v>
      </c>
      <c r="I17" s="262"/>
      <c r="J17" s="248"/>
      <c r="K17" s="264"/>
      <c r="L17" s="237"/>
      <c r="M17" s="237"/>
      <c r="N17" s="278"/>
      <c r="O17" s="278"/>
      <c r="P17" s="250"/>
      <c r="Q17" s="250"/>
      <c r="R17" s="281"/>
      <c r="S17" s="248"/>
      <c r="T17" s="248"/>
      <c r="U17" s="291"/>
      <c r="V17" s="251" t="s">
        <v>50</v>
      </c>
      <c r="W17" s="251" t="s">
        <v>94</v>
      </c>
      <c r="X17" s="295"/>
      <c r="Y17" s="302"/>
      <c r="Z17" s="248"/>
      <c r="AA17" s="267"/>
      <c r="AB17" s="253"/>
    </row>
    <row r="18" spans="2:28" ht="15.6" customHeight="1" thickBot="1" x14ac:dyDescent="0.3">
      <c r="B18" s="241" t="s">
        <v>36</v>
      </c>
      <c r="C18" s="153" t="str">
        <f>'Grupo D'!$S$17</f>
        <v>Túnez</v>
      </c>
      <c r="D18" s="12"/>
      <c r="E18" s="12"/>
      <c r="F18" s="237"/>
      <c r="G18" s="237"/>
      <c r="H18" s="237"/>
      <c r="I18" s="262"/>
      <c r="J18" s="248"/>
      <c r="K18" s="264"/>
      <c r="L18" s="237"/>
      <c r="M18" s="671" t="s">
        <v>95</v>
      </c>
      <c r="N18" s="673"/>
      <c r="O18" s="255" t="s">
        <v>198</v>
      </c>
      <c r="P18" s="683" t="s">
        <v>95</v>
      </c>
      <c r="Q18" s="671"/>
      <c r="R18" s="280"/>
      <c r="S18" s="263"/>
      <c r="T18" s="248"/>
      <c r="U18" s="291"/>
      <c r="V18" s="237"/>
      <c r="W18" s="237"/>
      <c r="X18" s="237"/>
      <c r="Y18" s="11"/>
      <c r="Z18" s="12"/>
      <c r="AA18" s="149" t="str">
        <f>'Grupo C'!$S$17</f>
        <v>México</v>
      </c>
      <c r="AB18" s="299" t="s">
        <v>44</v>
      </c>
    </row>
    <row r="19" spans="2:28" ht="15.6" customHeight="1" thickBot="1" x14ac:dyDescent="0.3">
      <c r="B19" s="240"/>
      <c r="C19" s="248"/>
      <c r="D19" s="251" t="s">
        <v>50</v>
      </c>
      <c r="E19" s="251" t="s">
        <v>94</v>
      </c>
      <c r="F19" s="237"/>
      <c r="G19" s="237"/>
      <c r="H19" s="237"/>
      <c r="I19" s="255" t="s">
        <v>198</v>
      </c>
      <c r="J19" s="669" t="s">
        <v>96</v>
      </c>
      <c r="K19" s="670"/>
      <c r="L19" s="21"/>
      <c r="M19" s="667" t="str">
        <f>IF(L20="","",IF(L19=L20,'Reglas Polla'!D33,0))</f>
        <v/>
      </c>
      <c r="N19" s="668"/>
      <c r="O19" s="256" t="s">
        <v>208</v>
      </c>
      <c r="P19" s="667" t="str">
        <f>IF(R20="","",IF(R19=R20,'Reglas Polla'!D33,0))</f>
        <v/>
      </c>
      <c r="Q19" s="668"/>
      <c r="R19" s="20"/>
      <c r="S19" s="669" t="s">
        <v>96</v>
      </c>
      <c r="T19" s="669"/>
      <c r="U19" s="255" t="s">
        <v>192</v>
      </c>
      <c r="V19" s="237"/>
      <c r="W19" s="237"/>
      <c r="X19" s="237"/>
      <c r="Y19" s="248" t="s">
        <v>50</v>
      </c>
      <c r="Z19" s="248" t="s">
        <v>94</v>
      </c>
      <c r="AA19" s="252"/>
      <c r="AB19" s="253"/>
    </row>
    <row r="20" spans="2:28" ht="15.6" customHeight="1" thickBot="1" x14ac:dyDescent="0.3">
      <c r="B20" s="240"/>
      <c r="C20" s="248"/>
      <c r="D20" s="251" t="s">
        <v>50</v>
      </c>
      <c r="E20" s="251" t="s">
        <v>94</v>
      </c>
      <c r="F20" s="237"/>
      <c r="G20" s="237"/>
      <c r="H20" s="237"/>
      <c r="I20" s="256" t="s">
        <v>207</v>
      </c>
      <c r="J20" s="669" t="s">
        <v>8</v>
      </c>
      <c r="K20" s="670"/>
      <c r="L20" s="153" t="str">
        <f>IF(OR(J12="",J28=""),"",IF(J12&gt;J28,I12,IF(J28&gt;J12,I28,IF(OR(H8="",H16=""),"",IF(K12&gt;K28,I12,IF(K28&gt;K12,I28,""))))))</f>
        <v/>
      </c>
      <c r="M20" s="12"/>
      <c r="N20" s="12"/>
      <c r="O20" s="305"/>
      <c r="P20" s="11"/>
      <c r="Q20" s="12"/>
      <c r="R20" s="150" t="str">
        <f>IF(OR(S12="",S28=""),"",IF(S12&gt;S28,U12,IF(S28&gt;S12,U28,IF(OR(T12="",T28=""),"",IF(T12&gt;T28,U12,IF(T28&gt;T12,U28,""))))))</f>
        <v/>
      </c>
      <c r="S20" s="669" t="s">
        <v>8</v>
      </c>
      <c r="T20" s="669"/>
      <c r="U20" s="256" t="s">
        <v>210</v>
      </c>
      <c r="V20" s="237"/>
      <c r="W20" s="237"/>
      <c r="X20" s="237"/>
      <c r="Y20" s="248" t="s">
        <v>50</v>
      </c>
      <c r="Z20" s="248" t="s">
        <v>94</v>
      </c>
      <c r="AA20" s="252"/>
      <c r="AB20" s="253"/>
    </row>
    <row r="21" spans="2:28" ht="15.6" customHeight="1" thickBot="1" x14ac:dyDescent="0.3">
      <c r="B21" s="241" t="s">
        <v>37</v>
      </c>
      <c r="C21" s="153" t="str">
        <f>'Grupo E'!$S$16</f>
        <v>España</v>
      </c>
      <c r="D21" s="12"/>
      <c r="E21" s="12"/>
      <c r="F21" s="237"/>
      <c r="G21" s="237"/>
      <c r="H21" s="237"/>
      <c r="I21" s="255"/>
      <c r="J21" s="248"/>
      <c r="K21" s="264"/>
      <c r="L21" s="237"/>
      <c r="M21" s="251" t="s">
        <v>50</v>
      </c>
      <c r="N21" s="251" t="s">
        <v>94</v>
      </c>
      <c r="O21" s="265"/>
      <c r="P21" s="251" t="s">
        <v>50</v>
      </c>
      <c r="Q21" s="251" t="s">
        <v>94</v>
      </c>
      <c r="R21" s="287"/>
      <c r="S21" s="265"/>
      <c r="T21" s="248"/>
      <c r="U21" s="291"/>
      <c r="V21" s="237"/>
      <c r="W21" s="237"/>
      <c r="X21" s="237"/>
      <c r="Y21" s="11"/>
      <c r="Z21" s="12"/>
      <c r="AA21" s="149" t="str">
        <f>'Grupo F'!$S$16</f>
        <v>Bélgica</v>
      </c>
      <c r="AB21" s="299" t="s">
        <v>45</v>
      </c>
    </row>
    <row r="22" spans="2:28" ht="15.6" customHeight="1" thickBot="1" x14ac:dyDescent="0.3">
      <c r="B22" s="240"/>
      <c r="C22" s="260"/>
      <c r="D22" s="248"/>
      <c r="E22" s="248"/>
      <c r="F22" s="277"/>
      <c r="G22" s="671" t="s">
        <v>95</v>
      </c>
      <c r="H22" s="671"/>
      <c r="I22" s="262"/>
      <c r="J22" s="248"/>
      <c r="K22" s="264"/>
      <c r="L22" s="237"/>
      <c r="M22" s="237"/>
      <c r="N22" s="237"/>
      <c r="O22" s="250"/>
      <c r="P22" s="237"/>
      <c r="Q22" s="237"/>
      <c r="R22" s="281"/>
      <c r="S22" s="248"/>
      <c r="T22" s="248"/>
      <c r="U22" s="291"/>
      <c r="V22" s="671" t="s">
        <v>95</v>
      </c>
      <c r="W22" s="671"/>
      <c r="X22" s="280"/>
      <c r="Y22" s="300"/>
      <c r="Z22" s="248"/>
      <c r="AA22" s="260"/>
      <c r="AB22" s="253"/>
    </row>
    <row r="23" spans="2:28" ht="15.6" customHeight="1" thickBot="1" x14ac:dyDescent="0.3">
      <c r="B23" s="240"/>
      <c r="C23" s="255" t="s">
        <v>199</v>
      </c>
      <c r="D23" s="669" t="s">
        <v>96</v>
      </c>
      <c r="E23" s="670"/>
      <c r="G23" s="667" t="str">
        <f>IF(F24="","",IF(F23=F24,'Reglas Polla'!D31,0))</f>
        <v/>
      </c>
      <c r="H23" s="668"/>
      <c r="I23" s="262"/>
      <c r="J23" s="248"/>
      <c r="K23" s="264"/>
      <c r="L23" s="237"/>
      <c r="M23" s="237"/>
      <c r="N23" s="237"/>
      <c r="O23" s="250"/>
      <c r="P23" s="237"/>
      <c r="Q23" s="237"/>
      <c r="R23" s="281"/>
      <c r="S23" s="237"/>
      <c r="T23" s="237"/>
      <c r="U23" s="291"/>
      <c r="V23" s="667" t="str">
        <f>IF(X24="","",IF(X23=X24,'Reglas Polla'!D31,0))</f>
        <v/>
      </c>
      <c r="W23" s="668"/>
      <c r="X23" s="20"/>
      <c r="Y23" s="669" t="s">
        <v>96</v>
      </c>
      <c r="Z23" s="669"/>
      <c r="AA23" s="284" t="s">
        <v>197</v>
      </c>
      <c r="AB23" s="253"/>
    </row>
    <row r="24" spans="2:28" ht="15.6" customHeight="1" thickBot="1" x14ac:dyDescent="0.3">
      <c r="B24" s="240"/>
      <c r="C24" s="256" t="s">
        <v>202</v>
      </c>
      <c r="D24" s="669" t="s">
        <v>8</v>
      </c>
      <c r="E24" s="670"/>
      <c r="F24" s="153" t="str">
        <f>IF(OR(D21="",D26=""),"",IF(D21&gt;D26,C21,IF(D26&gt;D21,C26,IF(OR(E21="",E26=""),"",IF(E21&gt;E26,C21,IF(E26&gt;E21,C26,""))))))</f>
        <v/>
      </c>
      <c r="G24" s="12"/>
      <c r="H24" s="15"/>
      <c r="I24" s="262"/>
      <c r="J24" s="248"/>
      <c r="K24" s="264"/>
      <c r="L24" s="237"/>
      <c r="M24" s="237"/>
      <c r="N24" s="237"/>
      <c r="O24" s="250"/>
      <c r="P24" s="237"/>
      <c r="Q24" s="237"/>
      <c r="R24" s="281"/>
      <c r="S24" s="237"/>
      <c r="T24" s="237"/>
      <c r="U24" s="291"/>
      <c r="V24" s="14"/>
      <c r="W24" s="15"/>
      <c r="X24" s="150" t="str">
        <f>IF(OR(Y21="",Y26=""),"",IF(Y21&gt;Y26,AA21,IF(Y26&gt;Y21,AA26,IF(OR(Z21="",Z26=""),"",IF(Z21&gt;Z26,AA21,IF(Z26&gt;Z21,AA26,""))))))</f>
        <v/>
      </c>
      <c r="Y24" s="669" t="s">
        <v>8</v>
      </c>
      <c r="Z24" s="669"/>
      <c r="AA24" s="256" t="s">
        <v>204</v>
      </c>
      <c r="AB24" s="253"/>
    </row>
    <row r="25" spans="2:28" ht="15.6" customHeight="1" thickBot="1" x14ac:dyDescent="0.3">
      <c r="B25" s="240"/>
      <c r="C25" s="267"/>
      <c r="D25" s="269"/>
      <c r="E25" s="259"/>
      <c r="F25" s="260"/>
      <c r="G25" s="270" t="s">
        <v>50</v>
      </c>
      <c r="H25" s="271" t="s">
        <v>94</v>
      </c>
      <c r="I25" s="262"/>
      <c r="J25" s="248"/>
      <c r="K25" s="264"/>
      <c r="L25" s="237"/>
      <c r="M25" s="237"/>
      <c r="N25" s="237"/>
      <c r="O25" s="684" t="s">
        <v>48</v>
      </c>
      <c r="P25" s="250"/>
      <c r="Q25" s="250"/>
      <c r="R25" s="281"/>
      <c r="S25" s="237"/>
      <c r="T25" s="237"/>
      <c r="U25" s="291"/>
      <c r="V25" s="296" t="s">
        <v>50</v>
      </c>
      <c r="W25" s="297" t="s">
        <v>94</v>
      </c>
      <c r="X25" s="260"/>
      <c r="Y25" s="303"/>
      <c r="Z25" s="269"/>
      <c r="AA25" s="267"/>
      <c r="AB25" s="253"/>
    </row>
    <row r="26" spans="2:28" ht="15.6" customHeight="1" thickBot="1" x14ac:dyDescent="0.3">
      <c r="B26" s="241" t="s">
        <v>38</v>
      </c>
      <c r="C26" s="153" t="str">
        <f>'Grupo F'!$S$17</f>
        <v>Croacia</v>
      </c>
      <c r="D26" s="12"/>
      <c r="E26" s="16"/>
      <c r="F26" s="262"/>
      <c r="G26" s="263"/>
      <c r="H26" s="264"/>
      <c r="I26" s="257"/>
      <c r="J26" s="671" t="s">
        <v>95</v>
      </c>
      <c r="K26" s="673"/>
      <c r="L26" s="237"/>
      <c r="M26" s="237"/>
      <c r="N26" s="237"/>
      <c r="O26" s="685"/>
      <c r="P26" s="671" t="s">
        <v>95</v>
      </c>
      <c r="Q26" s="671"/>
      <c r="R26" s="281"/>
      <c r="S26" s="671" t="s">
        <v>95</v>
      </c>
      <c r="T26" s="671"/>
      <c r="U26" s="267"/>
      <c r="V26" s="298"/>
      <c r="W26" s="263"/>
      <c r="X26" s="291"/>
      <c r="Y26" s="11"/>
      <c r="Z26" s="12"/>
      <c r="AA26" s="149" t="str">
        <f>'Grupo E'!$S$17</f>
        <v>Japón</v>
      </c>
      <c r="AB26" s="299" t="s">
        <v>46</v>
      </c>
    </row>
    <row r="27" spans="2:28" ht="15.6" customHeight="1" thickBot="1" x14ac:dyDescent="0.3">
      <c r="B27" s="240"/>
      <c r="C27" s="248"/>
      <c r="D27" s="251" t="s">
        <v>50</v>
      </c>
      <c r="E27" s="251" t="s">
        <v>94</v>
      </c>
      <c r="F27" s="255" t="s">
        <v>197</v>
      </c>
      <c r="G27" s="669" t="s">
        <v>96</v>
      </c>
      <c r="H27" s="670"/>
      <c r="I27" s="21"/>
      <c r="J27" s="667" t="str">
        <f>IF(I28="","",IF(I27=I28,'Reglas Polla'!D32,0))</f>
        <v/>
      </c>
      <c r="K27" s="668"/>
      <c r="L27" s="237"/>
      <c r="M27" s="669" t="s">
        <v>8</v>
      </c>
      <c r="N27" s="669"/>
      <c r="O27" s="155" t="str">
        <f>IF(OR(M33="",P33=""),"",IF(M33&gt;P33,L33,IF(P33&gt;M33,R33,IF(OR(N33="",Q33=""),"",IF(N33&gt;Q33,L33,IF(Q33&gt;N33,R33,""))))))</f>
        <v/>
      </c>
      <c r="P27" s="677" t="str">
        <f>IF(O27="","",IF(O28=O27,'Reglas Polla'!D34,0))</f>
        <v/>
      </c>
      <c r="Q27" s="678"/>
      <c r="R27" s="281"/>
      <c r="S27" s="667" t="str">
        <f>IF(U28="","",IF(U27=U28,'Reglas Polla'!D32,0))</f>
        <v/>
      </c>
      <c r="T27" s="668"/>
      <c r="U27" s="19"/>
      <c r="V27" s="688" t="s">
        <v>96</v>
      </c>
      <c r="W27" s="669"/>
      <c r="X27" s="255" t="s">
        <v>193</v>
      </c>
      <c r="Y27" s="248" t="s">
        <v>50</v>
      </c>
      <c r="Z27" s="248" t="s">
        <v>94</v>
      </c>
      <c r="AA27" s="252"/>
      <c r="AB27" s="253"/>
    </row>
    <row r="28" spans="2:28" ht="15.6" customHeight="1" thickBot="1" x14ac:dyDescent="0.3">
      <c r="B28" s="240"/>
      <c r="C28" s="248"/>
      <c r="D28" s="251" t="s">
        <v>50</v>
      </c>
      <c r="E28" s="251" t="s">
        <v>94</v>
      </c>
      <c r="F28" s="256" t="s">
        <v>205</v>
      </c>
      <c r="G28" s="669" t="s">
        <v>8</v>
      </c>
      <c r="H28" s="670"/>
      <c r="I28" s="153" t="str">
        <f>IF(OR(G24="",G32=""),"",IF(G24&gt;G32,F24,IF(G32&gt;G24,F32,IF(OR(H24="",H32=""),"",IF(H24&gt;H32,F24,IF(H32&gt;H24,F32,""))))))</f>
        <v/>
      </c>
      <c r="J28" s="12"/>
      <c r="K28" s="12"/>
      <c r="L28" s="237"/>
      <c r="M28" s="669" t="s">
        <v>96</v>
      </c>
      <c r="N28" s="669"/>
      <c r="O28" s="17"/>
      <c r="P28" s="679" t="str">
        <f>IF(O29="","",IF(O28=O29,20,0))</f>
        <v/>
      </c>
      <c r="Q28" s="680"/>
      <c r="R28" s="281"/>
      <c r="S28" s="13"/>
      <c r="T28" s="12"/>
      <c r="U28" s="150" t="str">
        <f>IF(OR(V24="",V32=""),"",IF(V24&gt;V32,X24,IF(V32&gt;V24,X32,IF(OR(W24="",W32=""),"",IF(W24&gt;W32,X24,IF(W32&gt;W24,X32,""))))))</f>
        <v/>
      </c>
      <c r="V28" s="669" t="s">
        <v>8</v>
      </c>
      <c r="W28" s="669"/>
      <c r="X28" s="256" t="s">
        <v>206</v>
      </c>
      <c r="Y28" s="248" t="s">
        <v>50</v>
      </c>
      <c r="Z28" s="248" t="s">
        <v>94</v>
      </c>
      <c r="AA28" s="252"/>
      <c r="AB28" s="253"/>
    </row>
    <row r="29" spans="2:28" ht="15.6" customHeight="1" thickBot="1" x14ac:dyDescent="0.35">
      <c r="B29" s="241" t="s">
        <v>39</v>
      </c>
      <c r="C29" s="153" t="str">
        <f>'Grupo G'!$S$16</f>
        <v>Brasil</v>
      </c>
      <c r="D29" s="12"/>
      <c r="E29" s="12"/>
      <c r="F29" s="262"/>
      <c r="G29" s="265"/>
      <c r="H29" s="264"/>
      <c r="I29" s="237"/>
      <c r="J29" s="251" t="s">
        <v>50</v>
      </c>
      <c r="K29" s="251" t="s">
        <v>94</v>
      </c>
      <c r="L29" s="237"/>
      <c r="M29" s="237"/>
      <c r="N29" s="278"/>
      <c r="O29" s="283"/>
      <c r="P29" s="250"/>
      <c r="Q29" s="250"/>
      <c r="R29" s="250"/>
      <c r="S29" s="251" t="s">
        <v>50</v>
      </c>
      <c r="T29" s="251" t="s">
        <v>94</v>
      </c>
      <c r="U29" s="289"/>
      <c r="V29" s="265"/>
      <c r="W29" s="265"/>
      <c r="X29" s="291"/>
      <c r="Y29" s="11"/>
      <c r="Z29" s="12"/>
      <c r="AA29" s="149" t="str">
        <f>'Grupo H'!$S$16</f>
        <v>Portugal</v>
      </c>
      <c r="AB29" s="299" t="s">
        <v>47</v>
      </c>
    </row>
    <row r="30" spans="2:28" ht="15.6" customHeight="1" thickBot="1" x14ac:dyDescent="0.3">
      <c r="B30" s="242"/>
      <c r="C30" s="260"/>
      <c r="D30" s="248"/>
      <c r="E30" s="266"/>
      <c r="F30" s="257"/>
      <c r="G30" s="671" t="s">
        <v>95</v>
      </c>
      <c r="H30" s="673"/>
      <c r="I30" s="237"/>
      <c r="J30" s="237"/>
      <c r="K30" s="237"/>
      <c r="L30" s="237"/>
      <c r="M30" s="237"/>
      <c r="N30" s="278"/>
      <c r="O30" s="284" t="s">
        <v>200</v>
      </c>
      <c r="P30" s="242"/>
      <c r="Q30" s="250"/>
      <c r="R30" s="250"/>
      <c r="S30" s="237"/>
      <c r="T30" s="237"/>
      <c r="U30" s="278"/>
      <c r="V30" s="671" t="s">
        <v>95</v>
      </c>
      <c r="W30" s="671"/>
      <c r="X30" s="267"/>
      <c r="Y30" s="300"/>
      <c r="Z30" s="248"/>
      <c r="AA30" s="260"/>
      <c r="AB30" s="253"/>
    </row>
    <row r="31" spans="2:28" ht="15.6" customHeight="1" thickBot="1" x14ac:dyDescent="0.3">
      <c r="B31" s="242"/>
      <c r="C31" s="255">
        <v>974</v>
      </c>
      <c r="D31" s="669" t="s">
        <v>96</v>
      </c>
      <c r="E31" s="670"/>
      <c r="F31" s="21"/>
      <c r="G31" s="667" t="str">
        <f>IF(F32="","",IF(F31=F32,'Reglas Polla'!D31,0))</f>
        <v/>
      </c>
      <c r="H31" s="668"/>
      <c r="I31" s="237"/>
      <c r="J31" s="237"/>
      <c r="K31" s="237"/>
      <c r="L31" s="237"/>
      <c r="M31" s="669"/>
      <c r="N31" s="672"/>
      <c r="O31" s="256" t="s">
        <v>209</v>
      </c>
      <c r="P31" s="674"/>
      <c r="Q31" s="669"/>
      <c r="R31" s="288"/>
      <c r="S31" s="237"/>
      <c r="T31" s="237"/>
      <c r="U31" s="237"/>
      <c r="V31" s="667" t="str">
        <f>IF(X32="","",IF(X31=X32,'Reglas Polla'!D31,0))</f>
        <v/>
      </c>
      <c r="W31" s="668"/>
      <c r="X31" s="19"/>
      <c r="Y31" s="669" t="s">
        <v>96</v>
      </c>
      <c r="Z31" s="669"/>
      <c r="AA31" s="255" t="s">
        <v>198</v>
      </c>
      <c r="AB31" s="253"/>
    </row>
    <row r="32" spans="2:28" ht="15.6" customHeight="1" thickBot="1" x14ac:dyDescent="0.3">
      <c r="B32" s="242"/>
      <c r="C32" s="256" t="s">
        <v>202</v>
      </c>
      <c r="D32" s="669" t="s">
        <v>8</v>
      </c>
      <c r="E32" s="670"/>
      <c r="F32" s="153" t="str">
        <f>IF(OR(D29="",D34=""),"",IF(D29&gt;D34,C29,IF(D34&gt;D29,C34,IF(OR(E29="",E34=""),"",IF(E29&gt;E34,C29,IF(E34&gt;E29,C34,""))))))</f>
        <v/>
      </c>
      <c r="G32" s="12"/>
      <c r="H32" s="12"/>
      <c r="I32" s="237"/>
      <c r="J32" s="669" t="s">
        <v>96</v>
      </c>
      <c r="K32" s="669"/>
      <c r="L32" s="34"/>
      <c r="M32" s="669"/>
      <c r="N32" s="672"/>
      <c r="O32" s="285"/>
      <c r="P32" s="681"/>
      <c r="Q32" s="691"/>
      <c r="R32" s="20"/>
      <c r="S32" s="669" t="s">
        <v>96</v>
      </c>
      <c r="T32" s="669"/>
      <c r="U32" s="290"/>
      <c r="V32" s="11"/>
      <c r="W32" s="12"/>
      <c r="X32" s="150" t="str">
        <f>IF(OR(Y29="",Y34=""),"",IF(Y29&gt;Y34,AA29,IF(Y34&gt;Y29,AA34,IF(OR(Z29="",Z34=""),"",IF(Z29&gt;Z34,AA29,IF(Z34&gt;Z29,AA34,""))))))</f>
        <v/>
      </c>
      <c r="Y32" s="669" t="s">
        <v>8</v>
      </c>
      <c r="Z32" s="669"/>
      <c r="AA32" s="256" t="s">
        <v>204</v>
      </c>
      <c r="AB32" s="253"/>
    </row>
    <row r="33" spans="1:93" ht="15.6" customHeight="1" thickBot="1" x14ac:dyDescent="0.3">
      <c r="B33" s="242"/>
      <c r="C33" s="257"/>
      <c r="D33" s="248"/>
      <c r="E33" s="272"/>
      <c r="F33" s="282"/>
      <c r="G33" s="251" t="s">
        <v>50</v>
      </c>
      <c r="H33" s="251" t="s">
        <v>94</v>
      </c>
      <c r="I33" s="237"/>
      <c r="J33" s="669" t="s">
        <v>8</v>
      </c>
      <c r="K33" s="670"/>
      <c r="L33" s="154" t="str">
        <f>IF(OR(J12="",J28=""),"",IF(J12&lt;J28,I12,IF(J28&lt;J12,I28,IF(OR(H8="",H16=""),"",IF(K12&lt;K28,I12,IF(K28&lt;K12,I28,""))))))</f>
        <v/>
      </c>
      <c r="M33" s="35"/>
      <c r="N33" s="36"/>
      <c r="O33" s="306"/>
      <c r="P33" s="37"/>
      <c r="Q33" s="16"/>
      <c r="R33" s="151" t="str">
        <f>IF(OR(S12="",S28=""),"",IF(S12&lt;S28,U12,IF(S28&lt;S12,U28,IF(OR(T12="",T28=""),"",IF(T12&lt;T28,U12,IF(T28&lt;T12,U28,""))))))</f>
        <v/>
      </c>
      <c r="S33" s="688" t="s">
        <v>8</v>
      </c>
      <c r="T33" s="669"/>
      <c r="U33" s="237"/>
      <c r="V33" s="251" t="s">
        <v>50</v>
      </c>
      <c r="W33" s="251" t="s">
        <v>94</v>
      </c>
      <c r="X33" s="237"/>
      <c r="Y33" s="303"/>
      <c r="Z33" s="248"/>
      <c r="AA33" s="267"/>
      <c r="AB33" s="253"/>
    </row>
    <row r="34" spans="1:93" ht="15.6" customHeight="1" thickBot="1" x14ac:dyDescent="0.3">
      <c r="B34" s="241" t="s">
        <v>40</v>
      </c>
      <c r="C34" s="153" t="str">
        <f>'Grupo H'!$S$17</f>
        <v>Corea del Sur</v>
      </c>
      <c r="D34" s="12"/>
      <c r="E34" s="12"/>
      <c r="F34" s="237"/>
      <c r="G34" s="237"/>
      <c r="H34" s="237"/>
      <c r="I34" s="237"/>
      <c r="J34" s="237"/>
      <c r="K34" s="237"/>
      <c r="L34" s="263"/>
      <c r="M34" s="251" t="s">
        <v>50</v>
      </c>
      <c r="N34" s="251" t="s">
        <v>94</v>
      </c>
      <c r="O34" s="237"/>
      <c r="P34" s="251" t="s">
        <v>50</v>
      </c>
      <c r="Q34" s="251" t="s">
        <v>94</v>
      </c>
      <c r="R34" s="250"/>
      <c r="S34" s="237"/>
      <c r="T34" s="237"/>
      <c r="U34" s="248"/>
      <c r="V34" s="237"/>
      <c r="W34" s="237"/>
      <c r="X34" s="237"/>
      <c r="Y34" s="11"/>
      <c r="Z34" s="12"/>
      <c r="AA34" s="149" t="str">
        <f>'Grupo G'!$S$17</f>
        <v>Camerún</v>
      </c>
      <c r="AB34" s="299" t="s">
        <v>49</v>
      </c>
    </row>
    <row r="35" spans="1:93" s="148" customFormat="1" ht="15.6" customHeight="1" x14ac:dyDescent="0.25">
      <c r="A35"/>
      <c r="B35" s="242"/>
      <c r="C35" s="248"/>
      <c r="D35" s="251" t="s">
        <v>50</v>
      </c>
      <c r="E35" s="251" t="s">
        <v>94</v>
      </c>
      <c r="F35" s="237"/>
      <c r="G35" s="237"/>
      <c r="H35" s="237"/>
      <c r="I35" s="237"/>
      <c r="J35" s="237"/>
      <c r="K35" s="237"/>
      <c r="L35" s="273"/>
      <c r="M35" s="248"/>
      <c r="N35" s="250"/>
      <c r="O35" s="237"/>
      <c r="P35" s="237"/>
      <c r="Q35" s="237"/>
      <c r="R35" s="250"/>
      <c r="S35" s="237"/>
      <c r="T35" s="237"/>
      <c r="U35" s="248"/>
      <c r="V35" s="237"/>
      <c r="W35" s="237"/>
      <c r="X35" s="237"/>
      <c r="Y35" s="248" t="s">
        <v>50</v>
      </c>
      <c r="Z35" s="248" t="s">
        <v>94</v>
      </c>
      <c r="AA35" s="252"/>
      <c r="AB35" s="25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8" customFormat="1" ht="15.75" thickBot="1" x14ac:dyDescent="0.3">
      <c r="A36"/>
      <c r="B36" s="243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E14" sqref="E14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720" t="s">
        <v>7</v>
      </c>
      <c r="E7" s="720" t="s">
        <v>8</v>
      </c>
      <c r="F7" s="720" t="s">
        <v>158</v>
      </c>
    </row>
    <row r="8" spans="2:6" ht="33" customHeight="1" x14ac:dyDescent="0.25">
      <c r="B8" s="721" t="s">
        <v>156</v>
      </c>
      <c r="C8" s="722"/>
      <c r="D8" s="141" t="str">
        <f>IF(DB_PARTIDOS!M20="","",DB_PARTIDOS!M20)</f>
        <v>Neymar</v>
      </c>
      <c r="E8" s="694"/>
      <c r="F8" s="692">
        <f>IF(E8="",0,IF(OR(E8=D8,E8=D9),'Reglas Polla'!D37,0))</f>
        <v>0</v>
      </c>
    </row>
    <row r="9" spans="2:6" ht="31.5" customHeight="1" thickBot="1" x14ac:dyDescent="0.3">
      <c r="B9" s="721" t="s">
        <v>157</v>
      </c>
      <c r="C9" s="722"/>
      <c r="D9" s="142" t="str">
        <f>IF(DB_PARTIDOS!M21="","",DB_PARTIDOS!M21)</f>
        <v>Mbappe</v>
      </c>
      <c r="E9" s="695"/>
      <c r="F9" s="693" t="str">
        <f>IF(E10="","",IF(E9=E10,20,0))</f>
        <v/>
      </c>
    </row>
  </sheetData>
  <sheetProtection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opLeftCell="A7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696" t="s">
        <v>101</v>
      </c>
      <c r="B1" s="697"/>
      <c r="C1" s="697"/>
      <c r="D1" s="697"/>
      <c r="E1" s="697"/>
      <c r="F1" s="698"/>
    </row>
    <row r="2" spans="1:6" ht="15.75" thickBot="1" x14ac:dyDescent="0.3">
      <c r="A2" s="699"/>
      <c r="B2" s="700"/>
      <c r="C2" s="700"/>
      <c r="D2" s="700"/>
      <c r="E2" s="700"/>
      <c r="F2" s="701"/>
    </row>
    <row r="3" spans="1:6" ht="31.5" customHeight="1" thickBot="1" x14ac:dyDescent="0.3">
      <c r="A3" s="229"/>
      <c r="B3" s="230" t="s">
        <v>98</v>
      </c>
      <c r="C3" s="231" t="s">
        <v>70</v>
      </c>
      <c r="D3" s="231" t="s">
        <v>71</v>
      </c>
      <c r="E3" s="231" t="s">
        <v>99</v>
      </c>
      <c r="F3" s="232" t="s">
        <v>100</v>
      </c>
    </row>
    <row r="4" spans="1:6" x14ac:dyDescent="0.25">
      <c r="A4" s="233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702">
        <f>'Cuadro Final'!O7</f>
        <v>0</v>
      </c>
      <c r="F4" s="704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34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702"/>
      <c r="F5" s="705"/>
    </row>
    <row r="6" spans="1:6" x14ac:dyDescent="0.25">
      <c r="A6" s="234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702"/>
      <c r="F6" s="705"/>
    </row>
    <row r="7" spans="1:6" x14ac:dyDescent="0.25">
      <c r="A7" s="234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702"/>
      <c r="F7" s="705"/>
    </row>
    <row r="8" spans="1:6" x14ac:dyDescent="0.25">
      <c r="A8" s="234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702"/>
      <c r="F8" s="705"/>
    </row>
    <row r="9" spans="1:6" x14ac:dyDescent="0.25">
      <c r="A9" s="234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702"/>
      <c r="F9" s="705"/>
    </row>
    <row r="10" spans="1:6" x14ac:dyDescent="0.25">
      <c r="A10" s="234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702"/>
      <c r="F10" s="705"/>
    </row>
    <row r="11" spans="1:6" ht="15.75" thickBot="1" x14ac:dyDescent="0.3">
      <c r="A11" s="235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703"/>
      <c r="F11" s="706"/>
    </row>
    <row r="12" spans="1:6" ht="15.75" thickBot="1" x14ac:dyDescent="0.3">
      <c r="A12" s="147" t="s">
        <v>79</v>
      </c>
      <c r="B12" s="143">
        <f>SUM(B4:B11)</f>
        <v>0</v>
      </c>
      <c r="C12" s="144">
        <f>SUM(C4:C11)</f>
        <v>0</v>
      </c>
      <c r="D12" s="145">
        <f>SUM(D4:D11)</f>
        <v>0</v>
      </c>
      <c r="E12" s="144">
        <f>SUM(E4:E11)</f>
        <v>0</v>
      </c>
      <c r="F12" s="146">
        <f>SUM(F4:F11)</f>
        <v>0</v>
      </c>
    </row>
    <row r="13" spans="1:6" ht="15.75" thickBot="1" x14ac:dyDescent="0.3">
      <c r="A13" s="236" t="s">
        <v>145</v>
      </c>
      <c r="B13" s="719">
        <f>Goleador!$F$8</f>
        <v>0</v>
      </c>
      <c r="C13" s="719"/>
      <c r="D13" s="719"/>
      <c r="E13" s="719"/>
      <c r="F13" s="719"/>
    </row>
    <row r="14" spans="1:6" ht="15" customHeight="1" x14ac:dyDescent="0.25">
      <c r="A14" s="707" t="s">
        <v>140</v>
      </c>
      <c r="B14" s="708"/>
      <c r="C14" s="707" t="s">
        <v>139</v>
      </c>
      <c r="D14" s="708"/>
      <c r="E14" s="707" t="s">
        <v>138</v>
      </c>
      <c r="F14" s="708"/>
    </row>
    <row r="15" spans="1:6" ht="15" customHeight="1" x14ac:dyDescent="0.25">
      <c r="A15" s="709"/>
      <c r="B15" s="710"/>
      <c r="C15" s="709"/>
      <c r="D15" s="710"/>
      <c r="E15" s="709"/>
      <c r="F15" s="710"/>
    </row>
    <row r="16" spans="1:6" ht="15.75" customHeight="1" thickBot="1" x14ac:dyDescent="0.3">
      <c r="A16" s="711"/>
      <c r="B16" s="712"/>
      <c r="C16" s="711"/>
      <c r="D16" s="712"/>
      <c r="E16" s="711"/>
      <c r="F16" s="712"/>
    </row>
    <row r="17" spans="1:6" ht="15" customHeight="1" x14ac:dyDescent="0.25">
      <c r="A17" s="713">
        <f>$B$12+$E$12+$B$13</f>
        <v>0</v>
      </c>
      <c r="B17" s="714"/>
      <c r="C17" s="713">
        <f>C12+F12</f>
        <v>0</v>
      </c>
      <c r="D17" s="714"/>
      <c r="E17" s="713">
        <f>D12</f>
        <v>0</v>
      </c>
      <c r="F17" s="714"/>
    </row>
    <row r="18" spans="1:6" ht="15" customHeight="1" x14ac:dyDescent="0.25">
      <c r="A18" s="715"/>
      <c r="B18" s="716"/>
      <c r="C18" s="715"/>
      <c r="D18" s="716"/>
      <c r="E18" s="715"/>
      <c r="F18" s="716"/>
    </row>
    <row r="19" spans="1:6" ht="15.75" customHeight="1" thickBot="1" x14ac:dyDescent="0.3">
      <c r="A19" s="717"/>
      <c r="B19" s="718"/>
      <c r="C19" s="717"/>
      <c r="D19" s="718"/>
      <c r="E19" s="717"/>
      <c r="F19" s="718"/>
    </row>
  </sheetData>
  <sheetProtection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J11" sqref="J11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307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E2">
        <v>0</v>
      </c>
      <c r="F2" t="str">
        <f>'Grupo A'!I$6</f>
        <v>Ecuador</v>
      </c>
      <c r="G2">
        <v>2</v>
      </c>
      <c r="H2" t="str">
        <f>IF([2]!Tabla1[[#This Row],[GOLES_LOCAL_REAL]]="","",[2]!Tabla1[[#This Row],[GOLES_LOCAL_REAL]])</f>
        <v/>
      </c>
      <c r="I2" t="str">
        <f>IF([2]!Tabla1[[#This Row],[GOLES_VISITANTE_REAL]]="","",[2]!Tabla1[[#This Row],[GOLES_VISITANTE_REAL]])</f>
        <v/>
      </c>
      <c r="L2" t="s">
        <v>228</v>
      </c>
      <c r="M2" t="s">
        <v>185</v>
      </c>
    </row>
    <row r="3" spans="1:13" x14ac:dyDescent="0.25">
      <c r="A3" s="307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E3">
        <v>1</v>
      </c>
      <c r="F3" t="str">
        <f>'Grupo A'!I$8</f>
        <v>Países Bajos</v>
      </c>
      <c r="G3">
        <v>3</v>
      </c>
      <c r="H3" t="str">
        <f>IF([2]!Tabla1[[#This Row],[GOLES_LOCAL_REAL]]="","",[2]!Tabla1[[#This Row],[GOLES_LOCAL_REAL]])</f>
        <v/>
      </c>
      <c r="I3" t="str">
        <f>IF([2]!Tabla1[[#This Row],[GOLES_VISITANTE_REAL]]="","",[2]!Tabla1[[#This Row],[GOLES_VISITANTE_REAL]])</f>
        <v/>
      </c>
      <c r="L3" t="s">
        <v>229</v>
      </c>
      <c r="M3" t="s">
        <v>184</v>
      </c>
    </row>
    <row r="4" spans="1:13" x14ac:dyDescent="0.25">
      <c r="A4" s="307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E4">
        <v>0</v>
      </c>
      <c r="F4" t="str">
        <f>'Grupo A'!I$10</f>
        <v>Senegal</v>
      </c>
      <c r="G4">
        <v>2</v>
      </c>
      <c r="H4" t="str">
        <f>IF([2]!Tabla1[[#This Row],[GOLES_LOCAL_REAL]]="","",[2]!Tabla1[[#This Row],[GOLES_LOCAL_REAL]])</f>
        <v/>
      </c>
      <c r="I4" t="str">
        <f>IF([2]!Tabla1[[#This Row],[GOLES_VISITANTE_REAL]]="","",[2]!Tabla1[[#This Row],[GOLES_VISITANTE_REAL]])</f>
        <v/>
      </c>
      <c r="L4" t="s">
        <v>230</v>
      </c>
      <c r="M4" t="s">
        <v>106</v>
      </c>
    </row>
    <row r="5" spans="1:13" x14ac:dyDescent="0.25">
      <c r="A5" s="307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E5">
        <v>2</v>
      </c>
      <c r="F5" t="str">
        <f>'Grupo A'!I$12</f>
        <v>Ecuador</v>
      </c>
      <c r="G5">
        <v>1</v>
      </c>
      <c r="H5" t="str">
        <f>IF([2]!Tabla1[[#This Row],[GOLES_LOCAL_REAL]]="","",[2]!Tabla1[[#This Row],[GOLES_LOCAL_REAL]])</f>
        <v/>
      </c>
      <c r="I5" t="str">
        <f>IF([2]!Tabla1[[#This Row],[GOLES_VISITANTE_REAL]]="","",[2]!Tabla1[[#This Row],[GOLES_VISITANTE_REAL]])</f>
        <v/>
      </c>
      <c r="L5" t="s">
        <v>231</v>
      </c>
      <c r="M5" t="s">
        <v>186</v>
      </c>
    </row>
    <row r="6" spans="1:13" x14ac:dyDescent="0.25">
      <c r="A6" s="307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E6">
        <v>3</v>
      </c>
      <c r="F6" t="str">
        <f>'Grupo A'!I$14</f>
        <v>Qatar</v>
      </c>
      <c r="G6">
        <v>0</v>
      </c>
      <c r="H6" t="str">
        <f>IF([2]!Tabla1[[#This Row],[GOLES_LOCAL_REAL]]="","",[2]!Tabla1[[#This Row],[GOLES_LOCAL_REAL]])</f>
        <v/>
      </c>
      <c r="I6" t="str">
        <f>IF([2]!Tabla1[[#This Row],[GOLES_VISITANTE_REAL]]="","",[2]!Tabla1[[#This Row],[GOLES_VISITANTE_REAL]])</f>
        <v/>
      </c>
      <c r="L6" t="s">
        <v>232</v>
      </c>
      <c r="M6" t="s">
        <v>109</v>
      </c>
    </row>
    <row r="7" spans="1:13" x14ac:dyDescent="0.25">
      <c r="A7" s="307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E7">
        <v>2</v>
      </c>
      <c r="F7" t="str">
        <f>'Grupo A'!I$16</f>
        <v>Senegal</v>
      </c>
      <c r="G7">
        <v>1</v>
      </c>
      <c r="H7" t="str">
        <f>IF([2]!Tabla1[[#This Row],[GOLES_LOCAL_REAL]]="","",[2]!Tabla1[[#This Row],[GOLES_LOCAL_REAL]])</f>
        <v/>
      </c>
      <c r="I7" t="str">
        <f>IF([2]!Tabla1[[#This Row],[GOLES_VISITANTE_REAL]]="","",[2]!Tabla1[[#This Row],[GOLES_VISITANTE_REAL]])</f>
        <v/>
      </c>
      <c r="L7" t="s">
        <v>233</v>
      </c>
      <c r="M7" t="s">
        <v>153</v>
      </c>
    </row>
    <row r="8" spans="1:13" x14ac:dyDescent="0.25">
      <c r="A8" s="307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E8">
        <v>3</v>
      </c>
      <c r="F8" t="str">
        <f>'Grupo B'!I$6</f>
        <v>Irán</v>
      </c>
      <c r="G8">
        <v>0</v>
      </c>
      <c r="H8" t="str">
        <f>IF([2]!Tabla1[[#This Row],[GOLES_LOCAL_REAL]]="","",[2]!Tabla1[[#This Row],[GOLES_LOCAL_REAL]])</f>
        <v/>
      </c>
      <c r="I8" t="str">
        <f>IF([2]!Tabla1[[#This Row],[GOLES_VISITANTE_REAL]]="","",[2]!Tabla1[[#This Row],[GOLES_VISITANTE_REAL]])</f>
        <v/>
      </c>
      <c r="L8" t="s">
        <v>234</v>
      </c>
      <c r="M8" t="s">
        <v>108</v>
      </c>
    </row>
    <row r="9" spans="1:13" x14ac:dyDescent="0.25">
      <c r="A9" s="307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E9">
        <v>2</v>
      </c>
      <c r="F9" t="str">
        <f>'Grupo B'!I$8</f>
        <v>Gales</v>
      </c>
      <c r="G9">
        <v>1</v>
      </c>
      <c r="H9" t="str">
        <f>IF([2]!Tabla1[[#This Row],[GOLES_LOCAL_REAL]]="","",[2]!Tabla1[[#This Row],[GOLES_LOCAL_REAL]])</f>
        <v/>
      </c>
      <c r="I9" t="str">
        <f>IF([2]!Tabla1[[#This Row],[GOLES_VISITANTE_REAL]]="","",[2]!Tabla1[[#This Row],[GOLES_VISITANTE_REAL]])</f>
        <v/>
      </c>
      <c r="L9" t="s">
        <v>235</v>
      </c>
      <c r="M9" t="s">
        <v>149</v>
      </c>
    </row>
    <row r="10" spans="1:13" x14ac:dyDescent="0.25">
      <c r="A10" s="307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E10">
        <v>2</v>
      </c>
      <c r="F10" t="str">
        <f>'Grupo B'!I$10</f>
        <v>Irán</v>
      </c>
      <c r="G10">
        <v>1</v>
      </c>
      <c r="H10" t="str">
        <f>IF([2]!Tabla1[[#This Row],[GOLES_LOCAL_REAL]]="","",[2]!Tabla1[[#This Row],[GOLES_LOCAL_REAL]])</f>
        <v/>
      </c>
      <c r="I10" t="str">
        <f>IF([2]!Tabla1[[#This Row],[GOLES_VISITANTE_REAL]]="","",[2]!Tabla1[[#This Row],[GOLES_VISITANTE_REAL]])</f>
        <v/>
      </c>
      <c r="L10" t="s">
        <v>236</v>
      </c>
      <c r="M10" t="s">
        <v>102</v>
      </c>
    </row>
    <row r="11" spans="1:13" x14ac:dyDescent="0.25">
      <c r="A11" s="307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E11">
        <v>2</v>
      </c>
      <c r="F11" t="str">
        <f>'Grupo B'!I$12</f>
        <v>USA</v>
      </c>
      <c r="G11">
        <v>1</v>
      </c>
      <c r="H11" t="str">
        <f>IF([2]!Tabla1[[#This Row],[GOLES_LOCAL_REAL]]="","",[2]!Tabla1[[#This Row],[GOLES_LOCAL_REAL]])</f>
        <v/>
      </c>
      <c r="I11" t="str">
        <f>IF([2]!Tabla1[[#This Row],[GOLES_VISITANTE_REAL]]="","",[2]!Tabla1[[#This Row],[GOLES_VISITANTE_REAL]])</f>
        <v/>
      </c>
      <c r="L11" t="s">
        <v>237</v>
      </c>
      <c r="M11" t="s">
        <v>110</v>
      </c>
    </row>
    <row r="12" spans="1:13" x14ac:dyDescent="0.25">
      <c r="A12" s="307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E12">
        <v>0</v>
      </c>
      <c r="F12" t="str">
        <f>'Grupo B'!I$14</f>
        <v>USA</v>
      </c>
      <c r="G12">
        <v>2</v>
      </c>
      <c r="H12" t="str">
        <f>IF([2]!Tabla1[[#This Row],[GOLES_LOCAL_REAL]]="","",[2]!Tabla1[[#This Row],[GOLES_LOCAL_REAL]])</f>
        <v/>
      </c>
      <c r="I12" t="str">
        <f>IF([2]!Tabla1[[#This Row],[GOLES_VISITANTE_REAL]]="","",[2]!Tabla1[[#This Row],[GOLES_VISITANTE_REAL]])</f>
        <v/>
      </c>
      <c r="L12" t="s">
        <v>238</v>
      </c>
      <c r="M12" t="s">
        <v>151</v>
      </c>
    </row>
    <row r="13" spans="1:13" x14ac:dyDescent="0.25">
      <c r="A13" s="307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E13">
        <v>0</v>
      </c>
      <c r="F13" t="str">
        <f>'Grupo B'!I$16</f>
        <v>Inglaterra</v>
      </c>
      <c r="G13">
        <v>2</v>
      </c>
      <c r="H13" t="str">
        <f>IF([2]!Tabla1[[#This Row],[GOLES_LOCAL_REAL]]="","",[2]!Tabla1[[#This Row],[GOLES_LOCAL_REAL]])</f>
        <v/>
      </c>
      <c r="I13" t="str">
        <f>IF([2]!Tabla1[[#This Row],[GOLES_VISITANTE_REAL]]="","",[2]!Tabla1[[#This Row],[GOLES_VISITANTE_REAL]])</f>
        <v/>
      </c>
      <c r="L13" t="s">
        <v>239</v>
      </c>
      <c r="M13" t="s">
        <v>5</v>
      </c>
    </row>
    <row r="14" spans="1:13" x14ac:dyDescent="0.25">
      <c r="A14" s="307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E14">
        <v>3</v>
      </c>
      <c r="F14" t="str">
        <f>'Grupo C'!I$6</f>
        <v>Arabia Saudita</v>
      </c>
      <c r="G14">
        <v>0</v>
      </c>
      <c r="H14" t="str">
        <f>IF([2]!Tabla1[[#This Row],[GOLES_LOCAL_REAL]]="","",[2]!Tabla1[[#This Row],[GOLES_LOCAL_REAL]])</f>
        <v/>
      </c>
      <c r="I14" t="str">
        <f>IF([2]!Tabla1[[#This Row],[GOLES_VISITANTE_REAL]]="","",[2]!Tabla1[[#This Row],[GOLES_VISITANTE_REAL]])</f>
        <v/>
      </c>
      <c r="L14" t="s">
        <v>240</v>
      </c>
      <c r="M14" t="s">
        <v>4</v>
      </c>
    </row>
    <row r="15" spans="1:13" x14ac:dyDescent="0.25">
      <c r="A15" s="307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E15">
        <v>1</v>
      </c>
      <c r="F15" t="str">
        <f>'Grupo C'!I$8</f>
        <v>Polonia</v>
      </c>
      <c r="G15">
        <v>2</v>
      </c>
      <c r="H15" t="str">
        <f>IF([2]!Tabla1[[#This Row],[GOLES_LOCAL_REAL]]="","",[2]!Tabla1[[#This Row],[GOLES_LOCAL_REAL]])</f>
        <v/>
      </c>
      <c r="I15" t="str">
        <f>IF([2]!Tabla1[[#This Row],[GOLES_VISITANTE_REAL]]="","",[2]!Tabla1[[#This Row],[GOLES_VISITANTE_REAL]])</f>
        <v/>
      </c>
      <c r="L15" t="s">
        <v>241</v>
      </c>
      <c r="M15" t="s">
        <v>107</v>
      </c>
    </row>
    <row r="16" spans="1:13" x14ac:dyDescent="0.25">
      <c r="A16" s="307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E16">
        <v>2</v>
      </c>
      <c r="F16" t="str">
        <f>'Grupo C'!I$10</f>
        <v>México</v>
      </c>
      <c r="G16">
        <v>1</v>
      </c>
      <c r="H16" t="str">
        <f>IF([2]!Tabla1[[#This Row],[GOLES_LOCAL_REAL]]="","",[2]!Tabla1[[#This Row],[GOLES_LOCAL_REAL]])</f>
        <v/>
      </c>
      <c r="I16" t="str">
        <f>IF([2]!Tabla1[[#This Row],[GOLES_VISITANTE_REAL]]="","",[2]!Tabla1[[#This Row],[GOLES_VISITANTE_REAL]])</f>
        <v/>
      </c>
      <c r="L16" t="s">
        <v>242</v>
      </c>
      <c r="M16" t="s">
        <v>111</v>
      </c>
    </row>
    <row r="17" spans="1:13" x14ac:dyDescent="0.25">
      <c r="A17" s="307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E17">
        <v>2</v>
      </c>
      <c r="F17" t="str">
        <f>'Grupo C'!I$12</f>
        <v>Arabia Saudita</v>
      </c>
      <c r="G17">
        <v>0</v>
      </c>
      <c r="H17" t="str">
        <f>IF([2]!Tabla1[[#This Row],[GOLES_LOCAL_REAL]]="","",[2]!Tabla1[[#This Row],[GOLES_LOCAL_REAL]])</f>
        <v/>
      </c>
      <c r="I17" t="str">
        <f>IF([2]!Tabla1[[#This Row],[GOLES_VISITANTE_REAL]]="","",[2]!Tabla1[[#This Row],[GOLES_VISITANTE_REAL]])</f>
        <v/>
      </c>
      <c r="L17" t="s">
        <v>243</v>
      </c>
      <c r="M17" t="s">
        <v>112</v>
      </c>
    </row>
    <row r="18" spans="1:13" x14ac:dyDescent="0.25">
      <c r="A18" s="307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E18">
        <v>0</v>
      </c>
      <c r="F18" t="str">
        <f>'Grupo C'!I$14</f>
        <v>México</v>
      </c>
      <c r="G18">
        <v>1</v>
      </c>
      <c r="H18" t="str">
        <f>IF([2]!Tabla1[[#This Row],[GOLES_LOCAL_REAL]]="","",[2]!Tabla1[[#This Row],[GOLES_LOCAL_REAL]])</f>
        <v/>
      </c>
      <c r="I18" t="str">
        <f>IF([2]!Tabla1[[#This Row],[GOLES_VISITANTE_REAL]]="","",[2]!Tabla1[[#This Row],[GOLES_VISITANTE_REAL]])</f>
        <v/>
      </c>
    </row>
    <row r="19" spans="1:13" x14ac:dyDescent="0.25">
      <c r="A19" s="307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E19">
        <v>1</v>
      </c>
      <c r="F19" t="str">
        <f>'Grupo C'!I$16</f>
        <v>Argentina</v>
      </c>
      <c r="G19">
        <v>2</v>
      </c>
      <c r="H19" t="str">
        <f>IF([2]!Tabla1[[#This Row],[GOLES_LOCAL_REAL]]="","",[2]!Tabla1[[#This Row],[GOLES_LOCAL_REAL]])</f>
        <v/>
      </c>
      <c r="I19" t="str">
        <f>IF([2]!Tabla1[[#This Row],[GOLES_VISITANTE_REAL]]="","",[2]!Tabla1[[#This Row],[GOLES_VISITANTE_REAL]])</f>
        <v/>
      </c>
      <c r="L19" t="s">
        <v>244</v>
      </c>
      <c r="M19" t="s">
        <v>245</v>
      </c>
    </row>
    <row r="20" spans="1:13" x14ac:dyDescent="0.25">
      <c r="A20" s="307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E20">
        <v>3</v>
      </c>
      <c r="F20" t="str">
        <f>'Grupo D'!I$6</f>
        <v>Australia</v>
      </c>
      <c r="G20">
        <v>1</v>
      </c>
      <c r="H20" t="str">
        <f>IF([2]!Tabla1[[#This Row],[GOLES_LOCAL_REAL]]="","",[2]!Tabla1[[#This Row],[GOLES_LOCAL_REAL]])</f>
        <v/>
      </c>
      <c r="I20" t="str">
        <f>IF([2]!Tabla1[[#This Row],[GOLES_VISITANTE_REAL]]="","",[2]!Tabla1[[#This Row],[GOLES_VISITANTE_REAL]])</f>
        <v/>
      </c>
      <c r="L20" t="s">
        <v>240</v>
      </c>
      <c r="M20" t="str">
        <f>[3]Goleador!D8</f>
        <v>Neymar</v>
      </c>
    </row>
    <row r="21" spans="1:13" x14ac:dyDescent="0.25">
      <c r="A21" s="307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E21">
        <v>2</v>
      </c>
      <c r="F21" t="str">
        <f>'Grupo D'!I$8</f>
        <v>Túnez</v>
      </c>
      <c r="G21">
        <v>0</v>
      </c>
      <c r="H21" t="str">
        <f>IF([2]!Tabla1[[#This Row],[GOLES_LOCAL_REAL]]="","",[2]!Tabla1[[#This Row],[GOLES_LOCAL_REAL]])</f>
        <v/>
      </c>
      <c r="I21" t="str">
        <f>IF([2]!Tabla1[[#This Row],[GOLES_VISITANTE_REAL]]="","",[2]!Tabla1[[#This Row],[GOLES_VISITANTE_REAL]])</f>
        <v/>
      </c>
      <c r="L21" t="s">
        <v>241</v>
      </c>
      <c r="M21" t="str">
        <f>[3]Goleador!D9</f>
        <v>Mbappe</v>
      </c>
    </row>
    <row r="22" spans="1:13" x14ac:dyDescent="0.25">
      <c r="A22" s="307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E22">
        <v>1</v>
      </c>
      <c r="F22" t="str">
        <f>'Grupo D'!I$10</f>
        <v>Australia</v>
      </c>
      <c r="G22">
        <v>2</v>
      </c>
      <c r="H22" t="str">
        <f>IF([2]!Tabla1[[#This Row],[GOLES_LOCAL_REAL]]="","",[2]!Tabla1[[#This Row],[GOLES_LOCAL_REAL]])</f>
        <v/>
      </c>
      <c r="I22" t="str">
        <f>IF([2]!Tabla1[[#This Row],[GOLES_VISITANTE_REAL]]="","",[2]!Tabla1[[#This Row],[GOLES_VISITANTE_REAL]])</f>
        <v/>
      </c>
    </row>
    <row r="23" spans="1:13" x14ac:dyDescent="0.25">
      <c r="A23" s="307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E23">
        <v>2</v>
      </c>
      <c r="F23" t="str">
        <f>'Grupo D'!I$12</f>
        <v>Dinamarca</v>
      </c>
      <c r="G23">
        <v>1</v>
      </c>
      <c r="H23" t="str">
        <f>IF([2]!Tabla1[[#This Row],[GOLES_LOCAL_REAL]]="","",[2]!Tabla1[[#This Row],[GOLES_LOCAL_REAL]])</f>
        <v/>
      </c>
      <c r="I23" t="str">
        <f>IF([2]!Tabla1[[#This Row],[GOLES_VISITANTE_REAL]]="","",[2]!Tabla1[[#This Row],[GOLES_VISITANTE_REAL]])</f>
        <v/>
      </c>
    </row>
    <row r="24" spans="1:13" x14ac:dyDescent="0.25">
      <c r="A24" s="307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E24">
        <v>0</v>
      </c>
      <c r="F24" t="str">
        <f>'Grupo D'!I$14</f>
        <v>Dinamarca</v>
      </c>
      <c r="G24">
        <v>2</v>
      </c>
      <c r="H24" t="str">
        <f>IF([2]!Tabla1[[#This Row],[GOLES_LOCAL_REAL]]="","",[2]!Tabla1[[#This Row],[GOLES_LOCAL_REAL]])</f>
        <v/>
      </c>
      <c r="I24" t="str">
        <f>IF([2]!Tabla1[[#This Row],[GOLES_VISITANTE_REAL]]="","",[2]!Tabla1[[#This Row],[GOLES_VISITANTE_REAL]])</f>
        <v/>
      </c>
    </row>
    <row r="25" spans="1:13" x14ac:dyDescent="0.25">
      <c r="A25" s="307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E25">
        <v>0</v>
      </c>
      <c r="F25" t="str">
        <f>'Grupo D'!I$16</f>
        <v>Francia</v>
      </c>
      <c r="G25">
        <v>3</v>
      </c>
      <c r="H25" t="str">
        <f>IF([2]!Tabla1[[#This Row],[GOLES_LOCAL_REAL]]="","",[2]!Tabla1[[#This Row],[GOLES_LOCAL_REAL]])</f>
        <v/>
      </c>
      <c r="I25" t="str">
        <f>IF([2]!Tabla1[[#This Row],[GOLES_VISITANTE_REAL]]="","",[2]!Tabla1[[#This Row],[GOLES_VISITANTE_REAL]])</f>
        <v/>
      </c>
    </row>
    <row r="26" spans="1:13" x14ac:dyDescent="0.25">
      <c r="A26" s="307" t="str">
        <f t="shared" si="0"/>
        <v>E1</v>
      </c>
      <c r="B26" s="307" t="s">
        <v>14</v>
      </c>
      <c r="C26" s="4">
        <v>1</v>
      </c>
      <c r="D26" t="str">
        <f>'Grupo E'!G$6</f>
        <v>España</v>
      </c>
      <c r="E26">
        <v>3</v>
      </c>
      <c r="F26" t="str">
        <f>'Grupo E'!I$6</f>
        <v>Costa Rica</v>
      </c>
      <c r="G26">
        <v>0</v>
      </c>
      <c r="H26" t="str">
        <f>IF([2]!Tabla1[[#This Row],[GOLES_LOCAL_REAL]]="","",[2]!Tabla1[[#This Row],[GOLES_LOCAL_REAL]])</f>
        <v/>
      </c>
      <c r="I26" t="str">
        <f>IF([2]!Tabla1[[#This Row],[GOLES_VISITANTE_REAL]]="","",[2]!Tabla1[[#This Row],[GOLES_VISITANTE_REAL]])</f>
        <v/>
      </c>
    </row>
    <row r="27" spans="1:13" x14ac:dyDescent="0.25">
      <c r="A27" s="307" t="str">
        <f t="shared" si="0"/>
        <v>E2</v>
      </c>
      <c r="B27" s="307" t="s">
        <v>14</v>
      </c>
      <c r="C27" s="4">
        <v>2</v>
      </c>
      <c r="D27" t="str">
        <f>'Grupo E'!G$8</f>
        <v>Alemania</v>
      </c>
      <c r="E27">
        <v>2</v>
      </c>
      <c r="F27" t="str">
        <f>'Grupo E'!I$8</f>
        <v>Japón</v>
      </c>
      <c r="G27">
        <v>1</v>
      </c>
      <c r="H27" t="str">
        <f>IF([2]!Tabla1[[#This Row],[GOLES_LOCAL_REAL]]="","",[2]!Tabla1[[#This Row],[GOLES_LOCAL_REAL]])</f>
        <v/>
      </c>
      <c r="I27" t="str">
        <f>IF([2]!Tabla1[[#This Row],[GOLES_VISITANTE_REAL]]="","",[2]!Tabla1[[#This Row],[GOLES_VISITANTE_REAL]])</f>
        <v/>
      </c>
    </row>
    <row r="28" spans="1:13" x14ac:dyDescent="0.25">
      <c r="A28" s="307" t="str">
        <f t="shared" si="0"/>
        <v>E3</v>
      </c>
      <c r="B28" s="307" t="s">
        <v>14</v>
      </c>
      <c r="C28" s="4">
        <v>3</v>
      </c>
      <c r="D28" t="str">
        <f>'Grupo E'!G$10</f>
        <v>Japón</v>
      </c>
      <c r="E28">
        <v>2</v>
      </c>
      <c r="F28" t="str">
        <f>'Grupo E'!I$10</f>
        <v>Costa Rica</v>
      </c>
      <c r="G28">
        <v>0</v>
      </c>
      <c r="H28" t="str">
        <f>IF([2]!Tabla1[[#This Row],[GOLES_LOCAL_REAL]]="","",[2]!Tabla1[[#This Row],[GOLES_LOCAL_REAL]])</f>
        <v/>
      </c>
      <c r="I28" t="str">
        <f>IF([2]!Tabla1[[#This Row],[GOLES_VISITANTE_REAL]]="","",[2]!Tabla1[[#This Row],[GOLES_VISITANTE_REAL]])</f>
        <v/>
      </c>
    </row>
    <row r="29" spans="1:13" x14ac:dyDescent="0.25">
      <c r="A29" s="307" t="str">
        <f t="shared" si="0"/>
        <v>E4</v>
      </c>
      <c r="B29" s="307" t="s">
        <v>14</v>
      </c>
      <c r="C29" s="4">
        <v>4</v>
      </c>
      <c r="D29" t="str">
        <f>'Grupo E'!G$12</f>
        <v>España</v>
      </c>
      <c r="E29">
        <v>2</v>
      </c>
      <c r="F29" t="str">
        <f>'Grupo E'!I$12</f>
        <v>Alemania</v>
      </c>
      <c r="G29">
        <v>2</v>
      </c>
      <c r="H29" t="str">
        <f>IF([2]!Tabla1[[#This Row],[GOLES_LOCAL_REAL]]="","",[2]!Tabla1[[#This Row],[GOLES_LOCAL_REAL]])</f>
        <v/>
      </c>
      <c r="I29" t="str">
        <f>IF([2]!Tabla1[[#This Row],[GOLES_VISITANTE_REAL]]="","",[2]!Tabla1[[#This Row],[GOLES_VISITANTE_REAL]])</f>
        <v/>
      </c>
    </row>
    <row r="30" spans="1:13" x14ac:dyDescent="0.25">
      <c r="A30" s="307" t="str">
        <f t="shared" si="0"/>
        <v>E5</v>
      </c>
      <c r="B30" s="307" t="s">
        <v>14</v>
      </c>
      <c r="C30" s="4">
        <v>5</v>
      </c>
      <c r="D30" t="str">
        <f>'Grupo E'!G$14</f>
        <v>Costa Rica</v>
      </c>
      <c r="E30">
        <v>0</v>
      </c>
      <c r="F30" t="str">
        <f>'Grupo E'!I$14</f>
        <v>Alemania</v>
      </c>
      <c r="G30">
        <v>3</v>
      </c>
      <c r="H30" t="str">
        <f>IF([2]!Tabla1[[#This Row],[GOLES_LOCAL_REAL]]="","",[2]!Tabla1[[#This Row],[GOLES_LOCAL_REAL]])</f>
        <v/>
      </c>
      <c r="I30" t="str">
        <f>IF([2]!Tabla1[[#This Row],[GOLES_VISITANTE_REAL]]="","",[2]!Tabla1[[#This Row],[GOLES_VISITANTE_REAL]])</f>
        <v/>
      </c>
    </row>
    <row r="31" spans="1:13" x14ac:dyDescent="0.25">
      <c r="A31" s="307" t="str">
        <f t="shared" si="0"/>
        <v>E6</v>
      </c>
      <c r="B31" s="307" t="s">
        <v>14</v>
      </c>
      <c r="C31" s="4">
        <v>6</v>
      </c>
      <c r="D31" t="str">
        <f>'Grupo E'!G$16</f>
        <v>Japón</v>
      </c>
      <c r="E31">
        <v>1</v>
      </c>
      <c r="F31" t="str">
        <f>'Grupo E'!I$16</f>
        <v>España</v>
      </c>
      <c r="G31">
        <v>3</v>
      </c>
      <c r="H31" t="str">
        <f>IF([2]!Tabla1[[#This Row],[GOLES_LOCAL_REAL]]="","",[2]!Tabla1[[#This Row],[GOLES_LOCAL_REAL]])</f>
        <v/>
      </c>
      <c r="I31" t="str">
        <f>IF([2]!Tabla1[[#This Row],[GOLES_VISITANTE_REAL]]="","",[2]!Tabla1[[#This Row],[GOLES_VISITANTE_REAL]])</f>
        <v/>
      </c>
    </row>
    <row r="32" spans="1:13" x14ac:dyDescent="0.25">
      <c r="A32" s="307" t="str">
        <f t="shared" si="0"/>
        <v>F1</v>
      </c>
      <c r="B32" s="307" t="s">
        <v>220</v>
      </c>
      <c r="C32" s="4">
        <v>1</v>
      </c>
      <c r="D32" t="str">
        <f>'Grupo F'!G$6</f>
        <v>Bélgica</v>
      </c>
      <c r="E32">
        <v>2</v>
      </c>
      <c r="F32" t="str">
        <f>'Grupo F'!I$6</f>
        <v>Canadá</v>
      </c>
      <c r="G32">
        <v>0</v>
      </c>
      <c r="H32" t="str">
        <f>IF([2]!Tabla1[[#This Row],[GOLES_LOCAL_REAL]]="","",[2]!Tabla1[[#This Row],[GOLES_LOCAL_REAL]])</f>
        <v/>
      </c>
      <c r="I32" t="str">
        <f>IF([2]!Tabla1[[#This Row],[GOLES_VISITANTE_REAL]]="","",[2]!Tabla1[[#This Row],[GOLES_VISITANTE_REAL]])</f>
        <v/>
      </c>
    </row>
    <row r="33" spans="1:9" x14ac:dyDescent="0.25">
      <c r="A33" s="307" t="str">
        <f t="shared" si="0"/>
        <v>F2</v>
      </c>
      <c r="B33" s="307" t="s">
        <v>220</v>
      </c>
      <c r="C33" s="4">
        <v>2</v>
      </c>
      <c r="D33" t="str">
        <f>'Grupo F'!G$8</f>
        <v>Marruecos</v>
      </c>
      <c r="E33">
        <v>0</v>
      </c>
      <c r="F33" t="str">
        <f>'Grupo F'!I$8</f>
        <v>Croacia</v>
      </c>
      <c r="G33">
        <v>2</v>
      </c>
      <c r="H33" t="str">
        <f>IF([2]!Tabla1[[#This Row],[GOLES_LOCAL_REAL]]="","",[2]!Tabla1[[#This Row],[GOLES_LOCAL_REAL]])</f>
        <v/>
      </c>
      <c r="I33" t="str">
        <f>IF([2]!Tabla1[[#This Row],[GOLES_VISITANTE_REAL]]="","",[2]!Tabla1[[#This Row],[GOLES_VISITANTE_REAL]])</f>
        <v/>
      </c>
    </row>
    <row r="34" spans="1:9" x14ac:dyDescent="0.25">
      <c r="A34" s="307" t="str">
        <f t="shared" si="0"/>
        <v>F3</v>
      </c>
      <c r="B34" s="307" t="s">
        <v>220</v>
      </c>
      <c r="C34" s="4">
        <v>3</v>
      </c>
      <c r="D34" t="str">
        <f>'Grupo F'!G$10</f>
        <v>Croacia</v>
      </c>
      <c r="E34">
        <v>2</v>
      </c>
      <c r="F34" t="str">
        <f>'Grupo F'!I$10</f>
        <v>Canadá</v>
      </c>
      <c r="G34">
        <v>0</v>
      </c>
      <c r="H34" t="str">
        <f>IF([2]!Tabla1[[#This Row],[GOLES_LOCAL_REAL]]="","",[2]!Tabla1[[#This Row],[GOLES_LOCAL_REAL]])</f>
        <v/>
      </c>
      <c r="I34" t="str">
        <f>IF([2]!Tabla1[[#This Row],[GOLES_VISITANTE_REAL]]="","",[2]!Tabla1[[#This Row],[GOLES_VISITANTE_REAL]])</f>
        <v/>
      </c>
    </row>
    <row r="35" spans="1:9" x14ac:dyDescent="0.25">
      <c r="A35" s="307" t="str">
        <f t="shared" si="0"/>
        <v>F4</v>
      </c>
      <c r="B35" s="307" t="s">
        <v>220</v>
      </c>
      <c r="C35" s="4">
        <v>4</v>
      </c>
      <c r="D35" t="str">
        <f>'Grupo F'!G$12</f>
        <v>Bélgica</v>
      </c>
      <c r="E35">
        <v>2</v>
      </c>
      <c r="F35" t="str">
        <f>'Grupo F'!I$12</f>
        <v>Marruecos</v>
      </c>
      <c r="G35">
        <v>0</v>
      </c>
      <c r="H35" t="str">
        <f>IF([2]!Tabla1[[#This Row],[GOLES_LOCAL_REAL]]="","",[2]!Tabla1[[#This Row],[GOLES_LOCAL_REAL]])</f>
        <v/>
      </c>
      <c r="I35" t="str">
        <f>IF([2]!Tabla1[[#This Row],[GOLES_VISITANTE_REAL]]="","",[2]!Tabla1[[#This Row],[GOLES_VISITANTE_REAL]])</f>
        <v/>
      </c>
    </row>
    <row r="36" spans="1:9" x14ac:dyDescent="0.25">
      <c r="A36" s="307" t="str">
        <f t="shared" si="0"/>
        <v>F5</v>
      </c>
      <c r="B36" s="307" t="s">
        <v>220</v>
      </c>
      <c r="C36" s="4">
        <v>5</v>
      </c>
      <c r="D36" t="str">
        <f>'Grupo F'!G$14</f>
        <v>Canadá</v>
      </c>
      <c r="E36">
        <v>1</v>
      </c>
      <c r="F36" t="str">
        <f>'Grupo F'!I$14</f>
        <v>Marruecos</v>
      </c>
      <c r="G36">
        <v>0</v>
      </c>
      <c r="H36" t="str">
        <f>IF([2]!Tabla1[[#This Row],[GOLES_LOCAL_REAL]]="","",[2]!Tabla1[[#This Row],[GOLES_LOCAL_REAL]])</f>
        <v/>
      </c>
      <c r="I36" t="str">
        <f>IF([2]!Tabla1[[#This Row],[GOLES_VISITANTE_REAL]]="","",[2]!Tabla1[[#This Row],[GOLES_VISITANTE_REAL]])</f>
        <v/>
      </c>
    </row>
    <row r="37" spans="1:9" x14ac:dyDescent="0.25">
      <c r="A37" s="307" t="str">
        <f t="shared" si="0"/>
        <v>F6</v>
      </c>
      <c r="B37" s="307" t="s">
        <v>220</v>
      </c>
      <c r="C37" s="4">
        <v>6</v>
      </c>
      <c r="D37" t="str">
        <f>'Grupo F'!G$16</f>
        <v>Croacia</v>
      </c>
      <c r="E37">
        <v>2</v>
      </c>
      <c r="F37" t="str">
        <f>'Grupo F'!I$16</f>
        <v>Bélgica</v>
      </c>
      <c r="G37">
        <v>2</v>
      </c>
      <c r="H37" t="str">
        <f>IF([2]!Tabla1[[#This Row],[GOLES_LOCAL_REAL]]="","",[2]!Tabla1[[#This Row],[GOLES_LOCAL_REAL]])</f>
        <v/>
      </c>
      <c r="I37" t="str">
        <f>IF([2]!Tabla1[[#This Row],[GOLES_VISITANTE_REAL]]="","",[2]!Tabla1[[#This Row],[GOLES_VISITANTE_REAL]])</f>
        <v/>
      </c>
    </row>
    <row r="38" spans="1:9" x14ac:dyDescent="0.25">
      <c r="A38" s="307" t="str">
        <f t="shared" si="0"/>
        <v>G1</v>
      </c>
      <c r="B38" s="307" t="s">
        <v>13</v>
      </c>
      <c r="C38" s="4">
        <v>1</v>
      </c>
      <c r="D38" t="str">
        <f>'Grupo G'!G$6</f>
        <v>Brasil</v>
      </c>
      <c r="E38">
        <v>3</v>
      </c>
      <c r="F38" t="str">
        <f>'Grupo G'!I$6</f>
        <v>Serbia</v>
      </c>
      <c r="G38">
        <v>0</v>
      </c>
      <c r="H38" t="str">
        <f>IF([2]!Tabla1[[#This Row],[GOLES_LOCAL_REAL]]="","",[2]!Tabla1[[#This Row],[GOLES_LOCAL_REAL]])</f>
        <v/>
      </c>
      <c r="I38" t="str">
        <f>IF([2]!Tabla1[[#This Row],[GOLES_VISITANTE_REAL]]="","",[2]!Tabla1[[#This Row],[GOLES_VISITANTE_REAL]])</f>
        <v/>
      </c>
    </row>
    <row r="39" spans="1:9" x14ac:dyDescent="0.25">
      <c r="A39" s="307" t="str">
        <f t="shared" si="0"/>
        <v>G2</v>
      </c>
      <c r="B39" s="307" t="s">
        <v>13</v>
      </c>
      <c r="C39" s="4">
        <v>2</v>
      </c>
      <c r="D39" t="str">
        <f>'Grupo G'!G$8</f>
        <v>Suiza</v>
      </c>
      <c r="E39">
        <v>2</v>
      </c>
      <c r="F39" t="str">
        <f>'Grupo G'!I$8</f>
        <v>Camerún</v>
      </c>
      <c r="G39">
        <v>1</v>
      </c>
      <c r="H39" t="str">
        <f>IF([2]!Tabla1[[#This Row],[GOLES_LOCAL_REAL]]="","",[2]!Tabla1[[#This Row],[GOLES_LOCAL_REAL]])</f>
        <v/>
      </c>
      <c r="I39" t="str">
        <f>IF([2]!Tabla1[[#This Row],[GOLES_VISITANTE_REAL]]="","",[2]!Tabla1[[#This Row],[GOLES_VISITANTE_REAL]])</f>
        <v/>
      </c>
    </row>
    <row r="40" spans="1:9" x14ac:dyDescent="0.25">
      <c r="A40" s="307" t="str">
        <f t="shared" si="0"/>
        <v>G3</v>
      </c>
      <c r="B40" s="307" t="s">
        <v>13</v>
      </c>
      <c r="C40" s="4">
        <v>3</v>
      </c>
      <c r="D40" t="str">
        <f>'Grupo G'!G$10</f>
        <v>Camerún</v>
      </c>
      <c r="E40">
        <v>2</v>
      </c>
      <c r="F40" t="str">
        <f>'Grupo G'!I$10</f>
        <v>Serbia</v>
      </c>
      <c r="G40">
        <v>0</v>
      </c>
      <c r="H40" t="str">
        <f>IF([2]!Tabla1[[#This Row],[GOLES_LOCAL_REAL]]="","",[2]!Tabla1[[#This Row],[GOLES_LOCAL_REAL]])</f>
        <v/>
      </c>
      <c r="I40" t="str">
        <f>IF([2]!Tabla1[[#This Row],[GOLES_VISITANTE_REAL]]="","",[2]!Tabla1[[#This Row],[GOLES_VISITANTE_REAL]])</f>
        <v/>
      </c>
    </row>
    <row r="41" spans="1:9" x14ac:dyDescent="0.25">
      <c r="A41" s="307" t="str">
        <f t="shared" si="0"/>
        <v>G4</v>
      </c>
      <c r="B41" s="307" t="s">
        <v>13</v>
      </c>
      <c r="C41" s="4">
        <v>4</v>
      </c>
      <c r="D41" t="str">
        <f>'Grupo G'!G$12</f>
        <v>Brasil</v>
      </c>
      <c r="E41">
        <v>3</v>
      </c>
      <c r="F41" t="str">
        <f>'Grupo G'!I$12</f>
        <v>Suiza</v>
      </c>
      <c r="G41">
        <v>1</v>
      </c>
      <c r="H41" t="str">
        <f>IF([2]!Tabla1[[#This Row],[GOLES_LOCAL_REAL]]="","",[2]!Tabla1[[#This Row],[GOLES_LOCAL_REAL]])</f>
        <v/>
      </c>
      <c r="I41" t="str">
        <f>IF([2]!Tabla1[[#This Row],[GOLES_VISITANTE_REAL]]="","",[2]!Tabla1[[#This Row],[GOLES_VISITANTE_REAL]])</f>
        <v/>
      </c>
    </row>
    <row r="42" spans="1:9" x14ac:dyDescent="0.25">
      <c r="A42" s="307" t="str">
        <f t="shared" si="0"/>
        <v>G5</v>
      </c>
      <c r="B42" s="307" t="s">
        <v>13</v>
      </c>
      <c r="C42" s="4">
        <v>5</v>
      </c>
      <c r="D42" t="str">
        <f>'Grupo G'!G$14</f>
        <v>Serbia</v>
      </c>
      <c r="E42">
        <v>0</v>
      </c>
      <c r="F42" t="str">
        <f>'Grupo G'!I$14</f>
        <v>Suiza</v>
      </c>
      <c r="G42">
        <v>2</v>
      </c>
      <c r="H42" t="str">
        <f>IF([2]!Tabla1[[#This Row],[GOLES_LOCAL_REAL]]="","",[2]!Tabla1[[#This Row],[GOLES_LOCAL_REAL]])</f>
        <v/>
      </c>
      <c r="I42" t="str">
        <f>IF([2]!Tabla1[[#This Row],[GOLES_VISITANTE_REAL]]="","",[2]!Tabla1[[#This Row],[GOLES_VISITANTE_REAL]])</f>
        <v/>
      </c>
    </row>
    <row r="43" spans="1:9" x14ac:dyDescent="0.25">
      <c r="A43" s="307" t="str">
        <f t="shared" si="0"/>
        <v>G6</v>
      </c>
      <c r="B43" s="307" t="s">
        <v>13</v>
      </c>
      <c r="C43" s="4">
        <v>6</v>
      </c>
      <c r="D43" t="str">
        <f>'Grupo G'!G$16</f>
        <v>Camerún</v>
      </c>
      <c r="E43">
        <v>0</v>
      </c>
      <c r="F43" t="str">
        <f>'Grupo G'!I$16</f>
        <v>Brasil</v>
      </c>
      <c r="G43">
        <v>3</v>
      </c>
      <c r="H43" t="str">
        <f>IF([2]!Tabla1[[#This Row],[GOLES_LOCAL_REAL]]="","",[2]!Tabla1[[#This Row],[GOLES_LOCAL_REAL]])</f>
        <v/>
      </c>
      <c r="I43" t="str">
        <f>IF([2]!Tabla1[[#This Row],[GOLES_VISITANTE_REAL]]="","",[2]!Tabla1[[#This Row],[GOLES_VISITANTE_REAL]])</f>
        <v/>
      </c>
    </row>
    <row r="44" spans="1:9" x14ac:dyDescent="0.25">
      <c r="A44" s="307" t="str">
        <f t="shared" si="0"/>
        <v>H1</v>
      </c>
      <c r="B44" s="307" t="s">
        <v>221</v>
      </c>
      <c r="C44" s="4">
        <v>1</v>
      </c>
      <c r="D44" t="str">
        <f>'Grupo H'!G$6</f>
        <v>Portugal</v>
      </c>
      <c r="E44">
        <v>2</v>
      </c>
      <c r="F44" t="str">
        <f>'Grupo H'!I$6</f>
        <v>Ghana</v>
      </c>
      <c r="G44">
        <v>0</v>
      </c>
      <c r="H44" t="str">
        <f>IF([2]!Tabla1[[#This Row],[GOLES_LOCAL_REAL]]="","",[2]!Tabla1[[#This Row],[GOLES_LOCAL_REAL]])</f>
        <v/>
      </c>
      <c r="I44" t="str">
        <f>IF([2]!Tabla1[[#This Row],[GOLES_VISITANTE_REAL]]="","",[2]!Tabla1[[#This Row],[GOLES_VISITANTE_REAL]])</f>
        <v/>
      </c>
    </row>
    <row r="45" spans="1:9" x14ac:dyDescent="0.25">
      <c r="A45" s="307" t="str">
        <f t="shared" si="0"/>
        <v>H2</v>
      </c>
      <c r="B45" s="307" t="s">
        <v>221</v>
      </c>
      <c r="C45" s="4">
        <v>2</v>
      </c>
      <c r="D45" t="str">
        <f>'Grupo H'!G$8</f>
        <v>Uruguay</v>
      </c>
      <c r="E45">
        <v>1</v>
      </c>
      <c r="F45" t="str">
        <f>'Grupo H'!I$8</f>
        <v>Corea del Sur</v>
      </c>
      <c r="G45">
        <v>1</v>
      </c>
      <c r="H45" t="str">
        <f>IF([2]!Tabla1[[#This Row],[GOLES_LOCAL_REAL]]="","",[2]!Tabla1[[#This Row],[GOLES_LOCAL_REAL]])</f>
        <v/>
      </c>
      <c r="I45" t="str">
        <f>IF([2]!Tabla1[[#This Row],[GOLES_VISITANTE_REAL]]="","",[2]!Tabla1[[#This Row],[GOLES_VISITANTE_REAL]])</f>
        <v/>
      </c>
    </row>
    <row r="46" spans="1:9" x14ac:dyDescent="0.25">
      <c r="A46" s="307" t="str">
        <f t="shared" si="0"/>
        <v>H3</v>
      </c>
      <c r="B46" s="307" t="s">
        <v>221</v>
      </c>
      <c r="C46" s="4">
        <v>3</v>
      </c>
      <c r="D46" t="str">
        <f>'Grupo H'!G$10</f>
        <v>Corea del Sur</v>
      </c>
      <c r="E46">
        <v>2</v>
      </c>
      <c r="F46" t="str">
        <f>'Grupo H'!I$10</f>
        <v>Ghana</v>
      </c>
      <c r="G46">
        <v>0</v>
      </c>
      <c r="H46" t="str">
        <f>IF([2]!Tabla1[[#This Row],[GOLES_LOCAL_REAL]]="","",[2]!Tabla1[[#This Row],[GOLES_LOCAL_REAL]])</f>
        <v/>
      </c>
      <c r="I46" t="str">
        <f>IF([2]!Tabla1[[#This Row],[GOLES_VISITANTE_REAL]]="","",[2]!Tabla1[[#This Row],[GOLES_VISITANTE_REAL]])</f>
        <v/>
      </c>
    </row>
    <row r="47" spans="1:9" x14ac:dyDescent="0.25">
      <c r="A47" s="307" t="str">
        <f t="shared" si="0"/>
        <v>H4</v>
      </c>
      <c r="B47" s="307" t="s">
        <v>221</v>
      </c>
      <c r="C47" s="4">
        <v>4</v>
      </c>
      <c r="D47" t="str">
        <f>'Grupo H'!G$12</f>
        <v>Portugal</v>
      </c>
      <c r="E47">
        <v>2</v>
      </c>
      <c r="F47" t="str">
        <f>'Grupo H'!I$12</f>
        <v>Uruguay</v>
      </c>
      <c r="G47">
        <v>1</v>
      </c>
      <c r="H47" t="str">
        <f>IF([2]!Tabla1[[#This Row],[GOLES_LOCAL_REAL]]="","",[2]!Tabla1[[#This Row],[GOLES_LOCAL_REAL]])</f>
        <v/>
      </c>
      <c r="I47" t="str">
        <f>IF([2]!Tabla1[[#This Row],[GOLES_VISITANTE_REAL]]="","",[2]!Tabla1[[#This Row],[GOLES_VISITANTE_REAL]])</f>
        <v/>
      </c>
    </row>
    <row r="48" spans="1:9" x14ac:dyDescent="0.25">
      <c r="A48" s="307" t="str">
        <f t="shared" si="0"/>
        <v>H5</v>
      </c>
      <c r="B48" s="307" t="s">
        <v>221</v>
      </c>
      <c r="C48" s="4">
        <v>5</v>
      </c>
      <c r="D48" t="str">
        <f>'Grupo H'!G$14</f>
        <v>Ghana</v>
      </c>
      <c r="E48">
        <v>0</v>
      </c>
      <c r="F48" t="str">
        <f>'Grupo H'!I$14</f>
        <v>Uruguay</v>
      </c>
      <c r="G48">
        <v>2</v>
      </c>
      <c r="H48" t="str">
        <f>IF([2]!Tabla1[[#This Row],[GOLES_LOCAL_REAL]]="","",[2]!Tabla1[[#This Row],[GOLES_LOCAL_REAL]])</f>
        <v/>
      </c>
      <c r="I48" t="str">
        <f>IF([2]!Tabla1[[#This Row],[GOLES_VISITANTE_REAL]]="","",[2]!Tabla1[[#This Row],[GOLES_VISITANTE_REAL]])</f>
        <v/>
      </c>
    </row>
    <row r="49" spans="1:9" x14ac:dyDescent="0.25">
      <c r="A49" s="307" t="str">
        <f t="shared" si="0"/>
        <v>H6</v>
      </c>
      <c r="B49" s="307" t="s">
        <v>221</v>
      </c>
      <c r="C49" s="4">
        <v>6</v>
      </c>
      <c r="D49" t="str">
        <f>'Grupo H'!G$16</f>
        <v>Corea del Sur</v>
      </c>
      <c r="E49">
        <v>1</v>
      </c>
      <c r="F49" t="str">
        <f>'Grupo H'!I$16</f>
        <v>Portugal</v>
      </c>
      <c r="G49">
        <v>2</v>
      </c>
      <c r="H49" t="str">
        <f>IF([2]!Tabla1[[#This Row],[GOLES_LOCAL_REAL]]="","",[2]!Tabla1[[#This Row],[GOLES_LOCAL_REAL]])</f>
        <v/>
      </c>
      <c r="I49" t="str">
        <f>IF([2]!Tabla1[[#This Row],[GOLES_VISITANTE_REAL]]="","",[2]!Tabla1[[#This Row],[GOLES_VISITANTE_REAL]])</f>
        <v/>
      </c>
    </row>
    <row r="50" spans="1:9" x14ac:dyDescent="0.25">
      <c r="A50" s="307" t="str">
        <f>CONCATENATE(B50,C50)</f>
        <v>OF1</v>
      </c>
      <c r="B50" s="307" t="s">
        <v>222</v>
      </c>
      <c r="C50" s="307">
        <v>1</v>
      </c>
      <c r="D50" t="str">
        <f>'Cuadro Final'!C5</f>
        <v>Qatar</v>
      </c>
      <c r="E50">
        <v>0</v>
      </c>
      <c r="F50" t="str">
        <f>'Cuadro Final'!C10</f>
        <v>Gales</v>
      </c>
      <c r="G50">
        <v>0</v>
      </c>
      <c r="H50" t="str">
        <f>IF([2]!Tabla1[[#This Row],[GOLES_LOCAL_REAL]]="","",[2]!Tabla1[[#This Row],[GOLES_LOCAL_REAL]])</f>
        <v/>
      </c>
      <c r="I50" t="str">
        <f>IF([2]!Tabla1[[#This Row],[GOLES_VISITANTE_REAL]]="","",[2]!Tabla1[[#This Row],[GOLES_VISITANTE_REAL]])</f>
        <v/>
      </c>
    </row>
    <row r="51" spans="1:9" x14ac:dyDescent="0.25">
      <c r="A51" s="307" t="str">
        <f t="shared" si="0"/>
        <v>OF2</v>
      </c>
      <c r="B51" s="307" t="s">
        <v>222</v>
      </c>
      <c r="C51" s="307">
        <v>2</v>
      </c>
      <c r="D51" t="str">
        <f>'Cuadro Final'!C13</f>
        <v>Argentina</v>
      </c>
      <c r="E51">
        <v>0</v>
      </c>
      <c r="F51" t="str">
        <f>'Cuadro Final'!C18</f>
        <v>Túnez</v>
      </c>
      <c r="G51">
        <v>0</v>
      </c>
      <c r="H51" t="str">
        <f>IF([2]!Tabla1[[#This Row],[GOLES_LOCAL_REAL]]="","",[2]!Tabla1[[#This Row],[GOLES_LOCAL_REAL]])</f>
        <v/>
      </c>
      <c r="I51" t="str">
        <f>IF([2]!Tabla1[[#This Row],[GOLES_VISITANTE_REAL]]="","",[2]!Tabla1[[#This Row],[GOLES_VISITANTE_REAL]])</f>
        <v/>
      </c>
    </row>
    <row r="52" spans="1:9" x14ac:dyDescent="0.25">
      <c r="A52" s="307" t="str">
        <f t="shared" si="0"/>
        <v>OF3</v>
      </c>
      <c r="B52" s="307" t="s">
        <v>222</v>
      </c>
      <c r="C52" s="307">
        <v>3</v>
      </c>
      <c r="D52" t="str">
        <f>'Cuadro Final'!C21</f>
        <v>España</v>
      </c>
      <c r="E52">
        <v>0</v>
      </c>
      <c r="F52" t="str">
        <f>'Cuadro Final'!C26</f>
        <v>Croacia</v>
      </c>
      <c r="G52">
        <v>0</v>
      </c>
      <c r="H52" t="str">
        <f>IF([2]!Tabla1[[#This Row],[GOLES_LOCAL_REAL]]="","",[2]!Tabla1[[#This Row],[GOLES_LOCAL_REAL]])</f>
        <v/>
      </c>
      <c r="I52" t="str">
        <f>IF([2]!Tabla1[[#This Row],[GOLES_VISITANTE_REAL]]="","",[2]!Tabla1[[#This Row],[GOLES_VISITANTE_REAL]])</f>
        <v/>
      </c>
    </row>
    <row r="53" spans="1:9" x14ac:dyDescent="0.25">
      <c r="A53" s="307" t="str">
        <f t="shared" si="0"/>
        <v>OF4</v>
      </c>
      <c r="B53" s="307" t="s">
        <v>222</v>
      </c>
      <c r="C53" s="307">
        <v>4</v>
      </c>
      <c r="D53" t="str">
        <f>'Cuadro Final'!C29</f>
        <v>Brasil</v>
      </c>
      <c r="E53">
        <v>0</v>
      </c>
      <c r="F53" t="str">
        <f>'Cuadro Final'!C34</f>
        <v>Corea del Sur</v>
      </c>
      <c r="G53">
        <v>0</v>
      </c>
      <c r="H53" t="str">
        <f>IF([2]!Tabla1[[#This Row],[GOLES_LOCAL_REAL]]="","",[2]!Tabla1[[#This Row],[GOLES_LOCAL_REAL]])</f>
        <v/>
      </c>
      <c r="I53" t="str">
        <f>IF([2]!Tabla1[[#This Row],[GOLES_VISITANTE_REAL]]="","",[2]!Tabla1[[#This Row],[GOLES_VISITANTE_REAL]])</f>
        <v/>
      </c>
    </row>
    <row r="54" spans="1:9" x14ac:dyDescent="0.25">
      <c r="A54" s="307" t="str">
        <f t="shared" si="0"/>
        <v>OF5</v>
      </c>
      <c r="B54" s="307" t="s">
        <v>222</v>
      </c>
      <c r="C54" s="307">
        <v>5</v>
      </c>
      <c r="D54" t="str">
        <f>'Cuadro Final'!AA5</f>
        <v>Inglaterra</v>
      </c>
      <c r="E54">
        <v>0</v>
      </c>
      <c r="F54" t="str">
        <f>'Cuadro Final'!AA10</f>
        <v>Senegal</v>
      </c>
      <c r="G54">
        <v>0</v>
      </c>
      <c r="H54" t="str">
        <f>IF([2]!Tabla1[[#This Row],[GOLES_LOCAL_REAL]]="","",[2]!Tabla1[[#This Row],[GOLES_LOCAL_REAL]])</f>
        <v/>
      </c>
      <c r="I54" t="str">
        <f>IF([2]!Tabla1[[#This Row],[GOLES_VISITANTE_REAL]]="","",[2]!Tabla1[[#This Row],[GOLES_VISITANTE_REAL]])</f>
        <v/>
      </c>
    </row>
    <row r="55" spans="1:9" x14ac:dyDescent="0.25">
      <c r="A55" s="307" t="str">
        <f t="shared" si="0"/>
        <v>OF6</v>
      </c>
      <c r="B55" s="307" t="s">
        <v>222</v>
      </c>
      <c r="C55" s="307">
        <v>6</v>
      </c>
      <c r="D55" t="str">
        <f>'Cuadro Final'!AA13</f>
        <v>Francia</v>
      </c>
      <c r="E55">
        <v>0</v>
      </c>
      <c r="F55" t="str">
        <f>'Cuadro Final'!AA18</f>
        <v>México</v>
      </c>
      <c r="G55">
        <v>0</v>
      </c>
      <c r="H55" t="str">
        <f>IF([2]!Tabla1[[#This Row],[GOLES_LOCAL_REAL]]="","",[2]!Tabla1[[#This Row],[GOLES_LOCAL_REAL]])</f>
        <v/>
      </c>
      <c r="I55" t="str">
        <f>IF([2]!Tabla1[[#This Row],[GOLES_VISITANTE_REAL]]="","",[2]!Tabla1[[#This Row],[GOLES_VISITANTE_REAL]])</f>
        <v/>
      </c>
    </row>
    <row r="56" spans="1:9" x14ac:dyDescent="0.25">
      <c r="A56" s="307" t="str">
        <f t="shared" si="0"/>
        <v>OF7</v>
      </c>
      <c r="B56" s="307" t="s">
        <v>222</v>
      </c>
      <c r="C56" s="307">
        <v>7</v>
      </c>
      <c r="D56" t="str">
        <f>'Cuadro Final'!AA21</f>
        <v>Bélgica</v>
      </c>
      <c r="E56">
        <v>0</v>
      </c>
      <c r="F56" t="str">
        <f>'Cuadro Final'!AA26</f>
        <v>Japón</v>
      </c>
      <c r="G56">
        <v>0</v>
      </c>
      <c r="H56" t="str">
        <f>IF([2]!Tabla1[[#This Row],[GOLES_LOCAL_REAL]]="","",[2]!Tabla1[[#This Row],[GOLES_LOCAL_REAL]])</f>
        <v/>
      </c>
      <c r="I56" t="str">
        <f>IF([2]!Tabla1[[#This Row],[GOLES_VISITANTE_REAL]]="","",[2]!Tabla1[[#This Row],[GOLES_VISITANTE_REAL]])</f>
        <v/>
      </c>
    </row>
    <row r="57" spans="1:9" x14ac:dyDescent="0.25">
      <c r="A57" s="307" t="str">
        <f t="shared" si="0"/>
        <v>OF8</v>
      </c>
      <c r="B57" s="307" t="s">
        <v>222</v>
      </c>
      <c r="C57" s="307">
        <v>8</v>
      </c>
      <c r="D57" t="str">
        <f>'Cuadro Final'!AA29</f>
        <v>Portugal</v>
      </c>
      <c r="E57">
        <v>0</v>
      </c>
      <c r="F57" t="str">
        <f>'Cuadro Final'!AA34</f>
        <v>Camerún</v>
      </c>
      <c r="G57">
        <v>0</v>
      </c>
      <c r="H57" t="str">
        <f>IF([2]!Tabla1[[#This Row],[GOLES_LOCAL_REAL]]="","",[2]!Tabla1[[#This Row],[GOLES_LOCAL_REAL]])</f>
        <v/>
      </c>
      <c r="I57" t="str">
        <f>IF([2]!Tabla1[[#This Row],[GOLES_VISITANTE_REAL]]="","",[2]!Tabla1[[#This Row],[GOLES_VISITANTE_REAL]])</f>
        <v/>
      </c>
    </row>
    <row r="58" spans="1:9" x14ac:dyDescent="0.25">
      <c r="A58" s="307" t="str">
        <f t="shared" si="0"/>
        <v>CF1</v>
      </c>
      <c r="B58" s="307" t="s">
        <v>223</v>
      </c>
      <c r="C58" s="307">
        <v>1</v>
      </c>
      <c r="D58">
        <f>'Cuadro Final'!F7</f>
        <v>0</v>
      </c>
      <c r="E58">
        <v>0</v>
      </c>
      <c r="F58">
        <f>'Cuadro Final'!F15</f>
        <v>0</v>
      </c>
      <c r="G58">
        <v>0</v>
      </c>
      <c r="H58" t="str">
        <f>IF([2]!Tabla1[[#This Row],[GOLES_LOCAL_REAL]]="","",[2]!Tabla1[[#This Row],[GOLES_LOCAL_REAL]])</f>
        <v/>
      </c>
      <c r="I58" t="str">
        <f>IF([2]!Tabla1[[#This Row],[GOLES_VISITANTE_REAL]]="","",[2]!Tabla1[[#This Row],[GOLES_VISITANTE_REAL]])</f>
        <v/>
      </c>
    </row>
    <row r="59" spans="1:9" x14ac:dyDescent="0.25">
      <c r="A59" s="307" t="str">
        <f t="shared" si="0"/>
        <v>CF2</v>
      </c>
      <c r="B59" s="307" t="s">
        <v>223</v>
      </c>
      <c r="C59" s="307">
        <v>2</v>
      </c>
      <c r="D59">
        <f>'Cuadro Final'!F23</f>
        <v>0</v>
      </c>
      <c r="E59">
        <v>0</v>
      </c>
      <c r="F59">
        <f>'Cuadro Final'!F31</f>
        <v>0</v>
      </c>
      <c r="G59">
        <v>0</v>
      </c>
      <c r="H59" t="str">
        <f>IF([2]!Tabla1[[#This Row],[GOLES_LOCAL_REAL]]="","",[2]!Tabla1[[#This Row],[GOLES_LOCAL_REAL]])</f>
        <v/>
      </c>
      <c r="I59" t="str">
        <f>IF([2]!Tabla1[[#This Row],[GOLES_VISITANTE_REAL]]="","",[2]!Tabla1[[#This Row],[GOLES_VISITANTE_REAL]])</f>
        <v/>
      </c>
    </row>
    <row r="60" spans="1:9" x14ac:dyDescent="0.25">
      <c r="A60" s="307" t="str">
        <f t="shared" si="0"/>
        <v>CF3</v>
      </c>
      <c r="B60" s="307" t="s">
        <v>223</v>
      </c>
      <c r="C60" s="307">
        <v>3</v>
      </c>
      <c r="D60">
        <f>'Cuadro Final'!X7</f>
        <v>0</v>
      </c>
      <c r="E60">
        <v>0</v>
      </c>
      <c r="F60">
        <f>'Cuadro Final'!X15</f>
        <v>0</v>
      </c>
      <c r="G60">
        <v>0</v>
      </c>
      <c r="H60" t="str">
        <f>IF([2]!Tabla1[[#This Row],[GOLES_LOCAL_REAL]]="","",[2]!Tabla1[[#This Row],[GOLES_LOCAL_REAL]])</f>
        <v/>
      </c>
      <c r="I60" t="str">
        <f>IF([2]!Tabla1[[#This Row],[GOLES_VISITANTE_REAL]]="","",[2]!Tabla1[[#This Row],[GOLES_VISITANTE_REAL]])</f>
        <v/>
      </c>
    </row>
    <row r="61" spans="1:9" x14ac:dyDescent="0.25">
      <c r="A61" s="307" t="str">
        <f t="shared" si="0"/>
        <v>CF4</v>
      </c>
      <c r="B61" s="307" t="s">
        <v>223</v>
      </c>
      <c r="C61" s="307">
        <v>4</v>
      </c>
      <c r="D61">
        <f>'Cuadro Final'!X23</f>
        <v>0</v>
      </c>
      <c r="E61">
        <v>0</v>
      </c>
      <c r="F61">
        <f>'Cuadro Final'!X31</f>
        <v>0</v>
      </c>
      <c r="G61">
        <v>0</v>
      </c>
      <c r="H61" t="str">
        <f>IF([2]!Tabla1[[#This Row],[GOLES_LOCAL_REAL]]="","",[2]!Tabla1[[#This Row],[GOLES_LOCAL_REAL]])</f>
        <v/>
      </c>
      <c r="I61" t="str">
        <f>IF([2]!Tabla1[[#This Row],[GOLES_VISITANTE_REAL]]="","",[2]!Tabla1[[#This Row],[GOLES_VISITANTE_REAL]])</f>
        <v/>
      </c>
    </row>
    <row r="62" spans="1:9" x14ac:dyDescent="0.25">
      <c r="A62" s="307" t="str">
        <f t="shared" si="0"/>
        <v>SF1</v>
      </c>
      <c r="B62" s="307" t="s">
        <v>224</v>
      </c>
      <c r="C62" s="307">
        <v>1</v>
      </c>
      <c r="D62">
        <f>'Cuadro Final'!I11</f>
        <v>0</v>
      </c>
      <c r="E62">
        <v>0</v>
      </c>
      <c r="F62">
        <f>'Cuadro Final'!I27</f>
        <v>0</v>
      </c>
      <c r="G62">
        <v>0</v>
      </c>
      <c r="H62" t="str">
        <f>IF([2]!Tabla1[[#This Row],[GOLES_LOCAL_REAL]]="","",[2]!Tabla1[[#This Row],[GOLES_LOCAL_REAL]])</f>
        <v/>
      </c>
      <c r="I62" t="str">
        <f>IF([2]!Tabla1[[#This Row],[GOLES_VISITANTE_REAL]]="","",[2]!Tabla1[[#This Row],[GOLES_VISITANTE_REAL]])</f>
        <v/>
      </c>
    </row>
    <row r="63" spans="1:9" x14ac:dyDescent="0.25">
      <c r="A63" s="307" t="str">
        <f t="shared" si="0"/>
        <v>SF2</v>
      </c>
      <c r="B63" s="307" t="s">
        <v>224</v>
      </c>
      <c r="C63" s="307">
        <v>2</v>
      </c>
      <c r="D63">
        <f>'Cuadro Final'!U11</f>
        <v>0</v>
      </c>
      <c r="E63">
        <v>0</v>
      </c>
      <c r="F63">
        <f>'Cuadro Final'!U27</f>
        <v>0</v>
      </c>
      <c r="G63">
        <v>0</v>
      </c>
      <c r="H63" t="str">
        <f>IF([2]!Tabla1[[#This Row],[GOLES_LOCAL_REAL]]="","",[2]!Tabla1[[#This Row],[GOLES_LOCAL_REAL]])</f>
        <v/>
      </c>
      <c r="I63" t="str">
        <f>IF([2]!Tabla1[[#This Row],[GOLES_VISITANTE_REAL]]="","",[2]!Tabla1[[#This Row],[GOLES_VISITANTE_REAL]])</f>
        <v/>
      </c>
    </row>
    <row r="64" spans="1:9" x14ac:dyDescent="0.25">
      <c r="A64" s="307" t="str">
        <f t="shared" si="0"/>
        <v>3F1</v>
      </c>
      <c r="B64" s="307" t="s">
        <v>225</v>
      </c>
      <c r="C64" s="307">
        <v>1</v>
      </c>
      <c r="D64">
        <f>'Cuadro Final'!L32</f>
        <v>0</v>
      </c>
      <c r="E64">
        <v>0</v>
      </c>
      <c r="F64">
        <f>'Cuadro Final'!R32</f>
        <v>0</v>
      </c>
      <c r="G64">
        <v>0</v>
      </c>
      <c r="H64" t="str">
        <f>IF([2]!Tabla1[[#This Row],[GOLES_LOCAL_REAL]]="","",[2]!Tabla1[[#This Row],[GOLES_LOCAL_REAL]])</f>
        <v/>
      </c>
      <c r="I64" t="str">
        <f>IF([2]!Tabla1[[#This Row],[GOLES_VISITANTE_REAL]]="","",[2]!Tabla1[[#This Row],[GOLES_VISITANTE_REAL]])</f>
        <v/>
      </c>
    </row>
    <row r="65" spans="1:9" x14ac:dyDescent="0.25">
      <c r="A65" s="307" t="str">
        <f t="shared" si="0"/>
        <v>1F1</v>
      </c>
      <c r="B65" s="307" t="s">
        <v>45</v>
      </c>
      <c r="C65" s="307">
        <v>1</v>
      </c>
      <c r="D65">
        <f>'Cuadro Final'!L19</f>
        <v>0</v>
      </c>
      <c r="E65">
        <v>0</v>
      </c>
      <c r="F65">
        <f>'Cuadro Final'!R19</f>
        <v>0</v>
      </c>
      <c r="G65">
        <v>0</v>
      </c>
      <c r="H65" t="str">
        <f>IF([2]!Tabla1[[#This Row],[GOLES_LOCAL_REAL]]="","",[2]!Tabla1[[#This Row],[GOLES_LOCAL_REAL]])</f>
        <v/>
      </c>
      <c r="I65" t="str">
        <f>IF([2]!Tabla1[[#This Row],[GOLES_VISITANTE_REAL]]="","",[2]!Tabla1[[#This Row],[GOLES_VISITANTE_REAL]])</f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abSelected="1" zoomScale="80" zoomScaleNormal="80" workbookViewId="0">
      <selection activeCell="C12" sqref="C12:C13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389" t="s">
        <v>6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1"/>
    </row>
    <row r="3" spans="2:46" ht="15.75" customHeight="1" thickBot="1" x14ac:dyDescent="0.3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4"/>
    </row>
    <row r="4" spans="2:46" x14ac:dyDescent="0.25">
      <c r="C4" s="404" t="s">
        <v>28</v>
      </c>
      <c r="D4" s="405"/>
      <c r="E4" s="405"/>
      <c r="F4" s="405"/>
      <c r="G4" s="405"/>
      <c r="H4" s="405"/>
      <c r="I4" s="405"/>
      <c r="J4" s="406"/>
      <c r="K4" s="413" t="s">
        <v>24</v>
      </c>
      <c r="L4" s="396"/>
      <c r="M4" s="414"/>
      <c r="N4" s="395" t="s">
        <v>21</v>
      </c>
      <c r="O4" s="396"/>
      <c r="P4" s="396"/>
      <c r="Q4" s="396"/>
      <c r="R4" s="396"/>
      <c r="S4" s="396"/>
      <c r="T4" s="396"/>
      <c r="U4" s="396"/>
      <c r="V4" s="397"/>
    </row>
    <row r="5" spans="2:46" ht="15.75" thickBot="1" x14ac:dyDescent="0.3">
      <c r="C5" s="176" t="s">
        <v>0</v>
      </c>
      <c r="D5" s="308" t="s">
        <v>1</v>
      </c>
      <c r="E5" s="308" t="s">
        <v>196</v>
      </c>
      <c r="F5" s="308" t="s">
        <v>2</v>
      </c>
      <c r="G5" s="402" t="s">
        <v>3</v>
      </c>
      <c r="H5" s="402"/>
      <c r="I5" s="402"/>
      <c r="J5" s="403"/>
      <c r="K5" s="323" t="s">
        <v>9</v>
      </c>
      <c r="L5" s="184" t="s">
        <v>10</v>
      </c>
      <c r="M5" s="185" t="s">
        <v>11</v>
      </c>
      <c r="N5" s="398"/>
      <c r="O5" s="399"/>
      <c r="P5" s="399"/>
      <c r="Q5" s="399"/>
      <c r="R5" s="399"/>
      <c r="S5" s="399"/>
      <c r="T5" s="399"/>
      <c r="U5" s="399"/>
      <c r="V5" s="400"/>
    </row>
    <row r="6" spans="2:46" ht="15.75" thickBot="1" x14ac:dyDescent="0.3">
      <c r="B6" s="38" t="str">
        <f>CONCATENATE(MID($C$2,7,1),1)</f>
        <v>A1</v>
      </c>
      <c r="C6" s="407">
        <v>44885</v>
      </c>
      <c r="D6" s="409">
        <v>0.45833333333333331</v>
      </c>
      <c r="E6" s="411" t="s">
        <v>192</v>
      </c>
      <c r="F6" s="174" t="s">
        <v>7</v>
      </c>
      <c r="G6" s="438" t="str">
        <f>Z16</f>
        <v>Qatar</v>
      </c>
      <c r="H6" s="172">
        <f>VLOOKUP($B$6,DB_PARTIDOS!$A$1:$I$65,5)</f>
        <v>0</v>
      </c>
      <c r="I6" s="438" t="str">
        <f>Z19</f>
        <v>Ecuador</v>
      </c>
      <c r="J6" s="172">
        <f>VLOOKUP($B$6,DB_PARTIDOS!$A$1:$I$65,7)</f>
        <v>2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0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12"/>
      <c r="H7" s="226" t="str">
        <f>IF(ISBLANK(VLOOKUP($B$6,DB_PARTIDOS!$A$1:$I$65,8)),"",VLOOKUP($B$6,DB_PARTIDOS!$A$1:$I$65,8))</f>
        <v/>
      </c>
      <c r="I7" s="412"/>
      <c r="J7" s="226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Qatar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401">
        <f>AH21</f>
        <v>0</v>
      </c>
      <c r="Z7" s="430" t="str">
        <f>Z16</f>
        <v>Qatar</v>
      </c>
      <c r="AA7" s="427">
        <f>SUM(IF(AND($H$7&lt;&gt;"",$J$7&lt;&gt;"",$H$7&gt;$J$7),1,0)+IF(AND($H$11&lt;&gt;"",$J$11&lt;&gt;"",$H$11&gt;$J$11),1,0)+IF(AND($H$15&lt;&gt;"",$J$15&lt;&gt;"",$J$15&gt;$H$15),1,0))</f>
        <v>0</v>
      </c>
      <c r="AB7" s="427">
        <f>SUM(IF(AND($H$7&lt;&gt;"",$J$7&lt;&gt;"",$H$7=$J$7),1,0)+IF(AND($H$11&lt;&gt;"",$J$11&lt;&gt;"",$H$11=$J$11),1,0)+IF(AND($H$15&lt;&gt;"",$J$15&lt;&gt;"",$J$15=$H$15),1,0))</f>
        <v>0</v>
      </c>
      <c r="AC7" s="427">
        <f>SUM(IF(AND($H$7&lt;&gt;"",$J$7&lt;&gt;"",$H$7&lt;$J$7),1,0)+IF(AND($H$11&lt;&gt;"",$J$11&lt;&gt;"",$H$11&lt;$J$11),1,0)+IF(AND($H$15&lt;&gt;"",$J$15&lt;&gt;"",$J$15&lt;$H$15),1,0))</f>
        <v>0</v>
      </c>
      <c r="AD7" s="427">
        <f>SUM($H$7,$H$11,$J$15)</f>
        <v>0</v>
      </c>
      <c r="AE7" s="427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408">
        <v>44886</v>
      </c>
      <c r="D8" s="410">
        <v>0.45833333333333331</v>
      </c>
      <c r="E8" s="388" t="s">
        <v>193</v>
      </c>
      <c r="F8" s="175" t="s">
        <v>7</v>
      </c>
      <c r="G8" s="412" t="str">
        <f>Z17</f>
        <v>Senegal</v>
      </c>
      <c r="H8" s="113">
        <f>VLOOKUP(B8,DB_PARTIDOS!$A$1:$I$65,5)</f>
        <v>1</v>
      </c>
      <c r="I8" s="412" t="str">
        <f>Z18</f>
        <v>Países Bajos</v>
      </c>
      <c r="J8" s="113">
        <f>VLOOKUP($B$8,DB_PARTIDOS!$A$1:$I$65,7)</f>
        <v>3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388"/>
      <c r="V8" s="401"/>
      <c r="Z8" s="431"/>
      <c r="AA8" s="425"/>
      <c r="AB8" s="425"/>
      <c r="AC8" s="425"/>
      <c r="AD8" s="425"/>
      <c r="AE8" s="425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388"/>
      <c r="F9" s="223" t="s">
        <v>8</v>
      </c>
      <c r="G9" s="412"/>
      <c r="H9" s="226" t="str">
        <f>IF(ISBLANK(VLOOKUP($B$6,DB_PARTIDOS!$A$1:$I$65,8)),"",VLOOKUP($B$6,DB_PARTIDOS!$A$1:$I$65,8))</f>
        <v/>
      </c>
      <c r="I9" s="412"/>
      <c r="J9" s="226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Senegal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388">
        <f t="shared" si="1"/>
        <v>0</v>
      </c>
      <c r="V9" s="401">
        <f t="shared" si="1"/>
        <v>0</v>
      </c>
      <c r="Z9" s="432" t="str">
        <f>Z17</f>
        <v>Senegal</v>
      </c>
      <c r="AA9" s="425">
        <f>SUM(IF(AND($H$9&lt;&gt;"",$J$9&lt;&gt;"",$H$9&gt;$J$9),1,0)+IF(AND($H$11&lt;&gt;"",$J$11&lt;&gt;"",$J$11&gt;$H$11),1,0)+IF(AND($H$17&lt;&gt;"",$J$17&lt;&gt;"",$J$17&gt;$H$17),1,0))</f>
        <v>0</v>
      </c>
      <c r="AB9" s="425">
        <f>SUM(IF(AND($H$9&lt;&gt;"",$J$9&lt;&gt;"",$H$9=$J$9),1,0)+IF(AND($H$11&lt;&gt;"",$J$11&lt;&gt;"",$H$11=$J$11),1,0)+IF(AND($H$17&lt;&gt;"",$J$17&lt;&gt;"",$J$17=$H$17),1,0))</f>
        <v>0</v>
      </c>
      <c r="AC9" s="425">
        <f>SUM(IF(AND($H$9&lt;&gt;"",$J$9&lt;&gt;"",$H$9&lt;$J$9),1,0)+IF(AND($H$11&lt;&gt;"",$J$11&lt;&gt;"",$J$11&lt;$H$11),1,0)+IF(AND($H$17&lt;&gt;"",$J$17&lt;&gt;"",$J$17&lt;$H$17),1,0))</f>
        <v>0</v>
      </c>
      <c r="AD9" s="425">
        <f>SUM($H$9,$J$11,$J$17)</f>
        <v>0</v>
      </c>
      <c r="AE9" s="425">
        <f>SUM($J$9,$H$11,$H$17)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408">
        <v>44890</v>
      </c>
      <c r="D10" s="410">
        <v>0.33333333333333331</v>
      </c>
      <c r="E10" s="448" t="s">
        <v>193</v>
      </c>
      <c r="F10" s="175" t="s">
        <v>7</v>
      </c>
      <c r="G10" s="412" t="str">
        <f>Z16</f>
        <v>Qatar</v>
      </c>
      <c r="H10" s="113">
        <f>VLOOKUP(B10,DB_PARTIDOS!$A$1:$I$65,5)</f>
        <v>0</v>
      </c>
      <c r="I10" s="412" t="str">
        <f>Z17</f>
        <v>Senegal</v>
      </c>
      <c r="J10" s="113">
        <f>VLOOKUP($B$10,DB_PARTIDOS!$A$1:$I$65,7)</f>
        <v>2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388"/>
      <c r="V10" s="401"/>
      <c r="Z10" s="433"/>
      <c r="AA10" s="425"/>
      <c r="AB10" s="425"/>
      <c r="AC10" s="425"/>
      <c r="AD10" s="425"/>
      <c r="AE10" s="425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12"/>
      <c r="H11" s="226" t="str">
        <f>IF(ISBLANK(VLOOKUP($B$6,DB_PARTIDOS!$A$1:$I$65,8)),"",VLOOKUP($B$6,DB_PARTIDOS!$A$1:$I$65,8))</f>
        <v/>
      </c>
      <c r="I11" s="412"/>
      <c r="J11" s="226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Países Bajos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388">
        <f t="shared" si="2"/>
        <v>0</v>
      </c>
      <c r="V11" s="401">
        <f t="shared" si="2"/>
        <v>0</v>
      </c>
      <c r="Z11" s="431" t="str">
        <f>Z18</f>
        <v>Países Bajos</v>
      </c>
      <c r="AA11" s="425">
        <f>SUM(IF(AND($H$9&lt;&gt;"",$J$9&lt;&gt;"",$J$9&gt;$H$9),1,0)+IF(AND($H$13&lt;&gt;"",$J$13&lt;&gt;"",$H$13&gt;$J$13),1,0)+IF(AND($H$15&lt;&gt;"",$J$15&lt;&gt;"",$H$15&gt;$J$15),1,0))</f>
        <v>0</v>
      </c>
      <c r="AB11" s="425">
        <f>SUM(IF(AND($H$9&lt;&gt;"",$J$9&lt;&gt;"",$H$9=$J$9),1,0)+IF(AND($H$13&lt;&gt;"",$J$13&lt;&gt;"",$H$13=$J$13),1,0)+IF(AND($H$15&lt;&gt;"",$J$15&lt;&gt;"",$J$15=$H$15),1,0))</f>
        <v>0</v>
      </c>
      <c r="AC11" s="425">
        <f>SUM(IF(AND($H$9&lt;&gt;"",$J$9&lt;&gt;"",$J$9&lt;$H$9),1,0)+IF(AND($H$13&lt;&gt;"",$J$13&lt;&gt;"",$H$13&lt;$J$13),1,0)+IF(AND($H$15&lt;&gt;"",$J$15&lt;&gt;"",$H$15&lt;$J$15),1,0))</f>
        <v>0</v>
      </c>
      <c r="AD11" s="425">
        <f>SUM($J$9,$H$13,$H$15)</f>
        <v>0</v>
      </c>
      <c r="AE11" s="425">
        <f>SUM($H$9,$J$13,$J$15)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408">
        <v>44890</v>
      </c>
      <c r="D12" s="410">
        <v>0.45833333333333331</v>
      </c>
      <c r="E12" s="448" t="s">
        <v>194</v>
      </c>
      <c r="F12" s="175" t="s">
        <v>7</v>
      </c>
      <c r="G12" s="412" t="str">
        <f>Z18</f>
        <v>Países Bajos</v>
      </c>
      <c r="H12" s="113">
        <f>VLOOKUP(B12,DB_PARTIDOS!$A$1:$I$65,5)</f>
        <v>2</v>
      </c>
      <c r="I12" s="412" t="str">
        <f>Z19</f>
        <v>Ecuador</v>
      </c>
      <c r="J12" s="113">
        <f>VLOOKUP($B$12,DB_PARTIDOS!$A$1:$I$65,7)</f>
        <v>1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388"/>
      <c r="V12" s="401"/>
      <c r="Z12" s="431"/>
      <c r="AA12" s="425"/>
      <c r="AB12" s="425"/>
      <c r="AC12" s="425"/>
      <c r="AD12" s="425"/>
      <c r="AE12" s="425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448"/>
      <c r="F13" s="223" t="s">
        <v>8</v>
      </c>
      <c r="G13" s="412"/>
      <c r="H13" s="226" t="str">
        <f>IF(ISBLANK(VLOOKUP($B$6,DB_PARTIDOS!$A$1:$I$65,8)),"",VLOOKUP($B$6,DB_PARTIDOS!$A$1:$I$65,8))</f>
        <v/>
      </c>
      <c r="I13" s="412"/>
      <c r="J13" s="226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Ecuador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388">
        <f t="shared" si="3"/>
        <v>0</v>
      </c>
      <c r="V13" s="401">
        <f t="shared" si="3"/>
        <v>0</v>
      </c>
      <c r="Z13" s="431" t="str">
        <f>Z19</f>
        <v>Ecuador</v>
      </c>
      <c r="AA13" s="425">
        <f>SUM(IF(AND($H$7&lt;&gt;"",$J$7&lt;&gt;"",$J$7&gt;$H$7),1,0)+IF(AND($H$13&lt;&gt;"",$J$13&lt;&gt;"",$J$13&gt;$H$13),1,0)+IF(AND($H$17&lt;&gt;"",$J$17&lt;&gt;"",$H$17&gt;$J$17),1,0))</f>
        <v>0</v>
      </c>
      <c r="AB13" s="425">
        <f>SUM(IF(AND($H$7&lt;&gt;"",$J$7&lt;&gt;"",$H$7=$J$7),1,0)+IF(AND($H$13&lt;&gt;"",$J$13&lt;&gt;"",$H$13=$J$13),1,0)+IF(AND($H$17&lt;&gt;"",$J$17&lt;&gt;"",$H$17=$J$17),1,0))</f>
        <v>0</v>
      </c>
      <c r="AC13" s="425">
        <f>SUM(IF(AND($H$7&lt;&gt;"",$J$7&lt;&gt;"",$J$7&lt;$H$7),1,0)+IF(AND($H$13&lt;&gt;"",$J$13&lt;&gt;"",$J$13&lt;$H$13),1,0)+IF(AND($H$17&lt;&gt;"",$J$17&lt;&gt;"",$H$17&lt;$J$17),1,0))</f>
        <v>0</v>
      </c>
      <c r="AD13" s="425">
        <f>SUM($J$7,$J$13,$H$17)</f>
        <v>0</v>
      </c>
      <c r="AE13" s="425">
        <f>SUM($H$7,$H$13,$J$17)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408">
        <v>44894</v>
      </c>
      <c r="D14" s="410">
        <v>0.41666666666666669</v>
      </c>
      <c r="E14" s="388" t="s">
        <v>192</v>
      </c>
      <c r="F14" s="175" t="s">
        <v>7</v>
      </c>
      <c r="G14" s="412" t="str">
        <f>Z18</f>
        <v>Países Bajos</v>
      </c>
      <c r="H14" s="113">
        <f>VLOOKUP(B14,DB_PARTIDOS!$A$1:$I$65,5)</f>
        <v>3</v>
      </c>
      <c r="I14" s="412" t="str">
        <f>Z16</f>
        <v>Qatar</v>
      </c>
      <c r="J14" s="113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423"/>
      <c r="V14" s="424"/>
      <c r="Z14" s="432"/>
      <c r="AA14" s="434"/>
      <c r="AB14" s="434"/>
      <c r="AC14" s="434"/>
      <c r="AD14" s="434"/>
      <c r="AE14" s="434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12"/>
      <c r="H15" s="226" t="str">
        <f>IF(ISBLANK(VLOOKUP($B$6,DB_PARTIDOS!$A$1:$I$65,8)),"",VLOOKUP($B$6,DB_PARTIDOS!$A$1:$I$65,8))</f>
        <v/>
      </c>
      <c r="I15" s="412"/>
      <c r="J15" s="226" t="str">
        <f>IF(ISBLANK(VLOOKUP($B$6,DB_PARTIDOS!$A$1:$I$65,8)),"",VLOOKUP($B$6,DB_PARTIDOS!$A$1:$I$65,9))</f>
        <v/>
      </c>
      <c r="K15" s="385"/>
      <c r="L15" s="385"/>
      <c r="M15" s="416"/>
      <c r="N15" s="201" t="s">
        <v>26</v>
      </c>
      <c r="O15" s="420" t="s">
        <v>22</v>
      </c>
      <c r="P15" s="420"/>
      <c r="Q15" s="420"/>
      <c r="R15" s="420"/>
      <c r="S15" s="420" t="s">
        <v>23</v>
      </c>
      <c r="T15" s="420"/>
      <c r="U15" s="420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408">
        <v>44894</v>
      </c>
      <c r="D16" s="410">
        <v>0.41666666666666669</v>
      </c>
      <c r="E16" s="388" t="s">
        <v>194</v>
      </c>
      <c r="F16" s="175" t="s">
        <v>7</v>
      </c>
      <c r="G16" s="412" t="str">
        <f>Z19</f>
        <v>Ecuador</v>
      </c>
      <c r="H16" s="113">
        <f>VLOOKUP(B16,DB_PARTIDOS!$A$1:$I$65,5)</f>
        <v>2</v>
      </c>
      <c r="I16" s="412" t="str">
        <f>Z17</f>
        <v>Senegal</v>
      </c>
      <c r="J16" s="113">
        <f>VLOOKUP($B$16,DB_PARTIDOS!$A$1:$I$65,7)</f>
        <v>1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Países Bajos</v>
      </c>
      <c r="P16" s="383"/>
      <c r="Q16" s="383"/>
      <c r="R16" s="383"/>
      <c r="S16" s="418" t="str">
        <f>N7</f>
        <v>Qatar</v>
      </c>
      <c r="T16" s="418"/>
      <c r="U16" s="418"/>
      <c r="V16" s="218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47"/>
      <c r="F17" s="224" t="s">
        <v>8</v>
      </c>
      <c r="G17" s="437"/>
      <c r="H17" s="225" t="str">
        <f>IF(ISBLANK(VLOOKUP($B$6,DB_PARTIDOS!$A$1:$I$65,8)),"",VLOOKUP($B$6,DB_PARTIDOS!$A$1:$I$65,8))</f>
        <v/>
      </c>
      <c r="I17" s="437"/>
      <c r="J17" s="225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Ecuador</v>
      </c>
      <c r="P17" s="384"/>
      <c r="Q17" s="384"/>
      <c r="R17" s="384"/>
      <c r="S17" s="419" t="str">
        <f>N9</f>
        <v>Senegal</v>
      </c>
      <c r="T17" s="419"/>
      <c r="U17" s="419"/>
      <c r="V17" s="219">
        <f>IF(OR(O17=S17,O17=S16),AC28,0)+IF(O17=S17,2,0)</f>
        <v>0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374" t="s">
        <v>27</v>
      </c>
      <c r="K21" s="375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3" t="s">
        <v>57</v>
      </c>
      <c r="D22" s="164" t="s">
        <v>26</v>
      </c>
      <c r="E22" s="28"/>
      <c r="F22" s="28"/>
      <c r="G22" s="28"/>
      <c r="H22" s="28"/>
      <c r="I22" s="28"/>
      <c r="J22" s="376"/>
      <c r="K22" s="377"/>
      <c r="L22" s="381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Qatar</v>
      </c>
      <c r="D23" s="109">
        <v>1</v>
      </c>
      <c r="E23" s="28"/>
      <c r="F23" s="28"/>
      <c r="G23" s="28"/>
      <c r="H23" s="28"/>
      <c r="I23" s="28"/>
      <c r="J23" s="378"/>
      <c r="K23" s="379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sortState ref="N6:V9">
    <sortCondition descending="1" ref="U6:U9"/>
  </sortState>
  <mergeCells count="135"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50" t="s">
        <v>80</v>
      </c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2"/>
    </row>
    <row r="3" spans="2:46" ht="15.75" customHeight="1" thickBot="1" x14ac:dyDescent="0.3">
      <c r="C3" s="453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5"/>
    </row>
    <row r="4" spans="2:46" x14ac:dyDescent="0.25">
      <c r="C4" s="456" t="s">
        <v>28</v>
      </c>
      <c r="D4" s="457"/>
      <c r="E4" s="457"/>
      <c r="F4" s="457"/>
      <c r="G4" s="457"/>
      <c r="H4" s="457"/>
      <c r="I4" s="457"/>
      <c r="J4" s="458"/>
      <c r="K4" s="459" t="s">
        <v>24</v>
      </c>
      <c r="L4" s="460"/>
      <c r="M4" s="461"/>
      <c r="N4" s="462" t="s">
        <v>21</v>
      </c>
      <c r="O4" s="460"/>
      <c r="P4" s="460"/>
      <c r="Q4" s="460"/>
      <c r="R4" s="460"/>
      <c r="S4" s="460"/>
      <c r="T4" s="460"/>
      <c r="U4" s="460"/>
      <c r="V4" s="463"/>
    </row>
    <row r="5" spans="2:46" ht="15.75" thickBot="1" x14ac:dyDescent="0.3">
      <c r="C5" s="183" t="s">
        <v>0</v>
      </c>
      <c r="D5" s="309" t="s">
        <v>1</v>
      </c>
      <c r="E5" s="309" t="s">
        <v>196</v>
      </c>
      <c r="F5" s="309" t="s">
        <v>2</v>
      </c>
      <c r="G5" s="467" t="s">
        <v>3</v>
      </c>
      <c r="H5" s="467"/>
      <c r="I5" s="467"/>
      <c r="J5" s="468"/>
      <c r="K5" s="316" t="s">
        <v>9</v>
      </c>
      <c r="L5" s="198" t="s">
        <v>10</v>
      </c>
      <c r="M5" s="199" t="s">
        <v>11</v>
      </c>
      <c r="N5" s="464"/>
      <c r="O5" s="465"/>
      <c r="P5" s="465"/>
      <c r="Q5" s="465"/>
      <c r="R5" s="465"/>
      <c r="S5" s="465"/>
      <c r="T5" s="465"/>
      <c r="U5" s="465"/>
      <c r="V5" s="466"/>
    </row>
    <row r="6" spans="2:46" ht="15.75" thickBot="1" x14ac:dyDescent="0.3">
      <c r="B6" s="38" t="str">
        <f>CONCATENATE(MID($C$2,7,1),1)</f>
        <v>B1</v>
      </c>
      <c r="C6" s="469">
        <v>44886</v>
      </c>
      <c r="D6" s="471">
        <v>0.33333333333333331</v>
      </c>
      <c r="E6" s="473" t="s">
        <v>194</v>
      </c>
      <c r="F6" s="174" t="s">
        <v>7</v>
      </c>
      <c r="G6" s="475" t="str">
        <f>Z16</f>
        <v>Inglaterra</v>
      </c>
      <c r="H6" s="173">
        <f>VLOOKUP($B$6,DB_PARTIDOS!$A$1:$I$65,5)</f>
        <v>3</v>
      </c>
      <c r="I6" s="475" t="str">
        <f>Z19</f>
        <v>Irán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4" t="s">
        <v>12</v>
      </c>
      <c r="O6" s="129" t="s">
        <v>13</v>
      </c>
      <c r="P6" s="129" t="s">
        <v>14</v>
      </c>
      <c r="Q6" s="129" t="s">
        <v>15</v>
      </c>
      <c r="R6" s="129" t="s">
        <v>16</v>
      </c>
      <c r="S6" s="129" t="s">
        <v>17</v>
      </c>
      <c r="T6" s="129" t="s">
        <v>18</v>
      </c>
      <c r="U6" s="129" t="s">
        <v>19</v>
      </c>
      <c r="V6" s="13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70"/>
      <c r="D7" s="472"/>
      <c r="E7" s="474"/>
      <c r="F7" s="223" t="s">
        <v>8</v>
      </c>
      <c r="G7" s="476"/>
      <c r="H7" s="226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Inglaterra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449">
        <f t="shared" si="0"/>
        <v>0</v>
      </c>
      <c r="V7" s="480">
        <f>AH21</f>
        <v>0</v>
      </c>
      <c r="Z7" s="430" t="str">
        <f>Z16</f>
        <v>Inglaterra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70">
        <v>44886</v>
      </c>
      <c r="D8" s="410">
        <v>0.58333333333333337</v>
      </c>
      <c r="E8" s="448" t="s">
        <v>195</v>
      </c>
      <c r="F8" s="175" t="s">
        <v>7</v>
      </c>
      <c r="G8" s="476" t="str">
        <f>Z18</f>
        <v>USA</v>
      </c>
      <c r="H8" s="114">
        <f>VLOOKUP(B8,DB_PARTIDOS!$A$1:$I$65,5)</f>
        <v>2</v>
      </c>
      <c r="I8" s="476" t="str">
        <f>Z17</f>
        <v>Gales</v>
      </c>
      <c r="J8" s="114">
        <f>VLOOKUP($B$8,DB_PARTIDOS!$A$1:$I$65,7)</f>
        <v>1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449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70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Gales</v>
      </c>
      <c r="O9" s="449">
        <f t="shared" ref="O9:U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449">
        <f t="shared" si="1"/>
        <v>0</v>
      </c>
      <c r="V9" s="480">
        <f>AH22</f>
        <v>0</v>
      </c>
      <c r="Z9" s="431" t="str">
        <f>Z17</f>
        <v>Gales</v>
      </c>
      <c r="AA9" s="425">
        <f>SUM(IF(AND($H$9&lt;&gt;"",$J$9&lt;&gt;"",$J$9&gt;$H$9),1,0)+IF(AND($H$11&lt;&gt;"",$J$11&lt;&gt;"",$H$11&gt;$J$11),1,0)+IF(AND($H$17&lt;&gt;"",$J$17&lt;&gt;"",$J$17&gt;$H$17),1,0))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SUM(IF(AND($H$9&lt;&gt;"",$J$9&lt;&gt;"",$J$9&lt;$H$9),1,0)+IF(AND($H$11&lt;&gt;"",$J$11&lt;&gt;"",$H$11&lt;$J$11),1,0)+IF(AND($H$17&lt;&gt;"",$J$17&lt;&gt;"",$J$17&lt;H$15),1,0))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70">
        <v>44890</v>
      </c>
      <c r="D10" s="472">
        <v>0.20833333333333334</v>
      </c>
      <c r="E10" s="448" t="s">
        <v>195</v>
      </c>
      <c r="F10" s="175" t="s">
        <v>7</v>
      </c>
      <c r="G10" s="476" t="str">
        <f>Z17</f>
        <v>Gales</v>
      </c>
      <c r="H10" s="114">
        <f>VLOOKUP(B10,DB_PARTIDOS!$A$1:$I$65,5)</f>
        <v>2</v>
      </c>
      <c r="I10" s="476" t="str">
        <f>Z19</f>
        <v>Irán</v>
      </c>
      <c r="J10" s="114">
        <f>VLOOKUP($B$10,DB_PARTIDOS!$A$1:$I$65,7)</f>
        <v>1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449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70"/>
      <c r="D11" s="472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USA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449">
        <f t="shared" si="2"/>
        <v>0</v>
      </c>
      <c r="V11" s="480">
        <f t="shared" si="2"/>
        <v>0</v>
      </c>
      <c r="Z11" s="431" t="str">
        <f>Z18</f>
        <v>USA</v>
      </c>
      <c r="AA11" s="425">
        <f>SUM(IF(AND($H$9&lt;&gt;"",$J$9&lt;&gt;"",$J$9&lt;$H$9),1,0)+IF(AND($H$13&lt;&gt;"",$J$13&lt;&gt;"",$H$13&lt;$J$13),1,0)+IF(AND($H$15&lt;&gt;"",$J$15&lt;&gt;"",$H$15&lt;$J$15),1,0))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70">
        <v>44890</v>
      </c>
      <c r="D12" s="410">
        <v>0.58333333333333337</v>
      </c>
      <c r="E12" s="474" t="s">
        <v>192</v>
      </c>
      <c r="F12" s="175" t="s">
        <v>7</v>
      </c>
      <c r="G12" s="476" t="str">
        <f>Z16</f>
        <v>Inglaterra</v>
      </c>
      <c r="H12" s="114">
        <f>VLOOKUP(B12,DB_PARTIDOS!$A$1:$I$65,5)</f>
        <v>2</v>
      </c>
      <c r="I12" s="476" t="str">
        <f>Z18</f>
        <v>USA</v>
      </c>
      <c r="J12" s="114">
        <f>VLOOKUP($B$12,DB_PARTIDOS!$A$1:$I$65,7)</f>
        <v>1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449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70"/>
      <c r="D13" s="410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Irán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449">
        <f t="shared" si="3"/>
        <v>0</v>
      </c>
      <c r="V13" s="480">
        <f t="shared" si="3"/>
        <v>0</v>
      </c>
      <c r="Z13" s="431" t="str">
        <f>Z19</f>
        <v>Irán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70">
        <v>44894</v>
      </c>
      <c r="D14" s="410">
        <v>0.58333333333333337</v>
      </c>
      <c r="E14" s="474" t="s">
        <v>193</v>
      </c>
      <c r="F14" s="175" t="s">
        <v>7</v>
      </c>
      <c r="G14" s="476" t="str">
        <f>Z19</f>
        <v>Irán</v>
      </c>
      <c r="H14" s="114">
        <f>VLOOKUP(B14,DB_PARTIDOS!$A$1:$I$65,5)</f>
        <v>0</v>
      </c>
      <c r="I14" s="476" t="str">
        <f>Z18</f>
        <v>USA</v>
      </c>
      <c r="J14" s="114">
        <f>VLOOKUP($B$14,DB_PARTIDOS!$A$1:$I$65,7)</f>
        <v>2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481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70"/>
      <c r="D15" s="410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5" t="s">
        <v>26</v>
      </c>
      <c r="O15" s="482" t="s">
        <v>22</v>
      </c>
      <c r="P15" s="482"/>
      <c r="Q15" s="482"/>
      <c r="R15" s="482"/>
      <c r="S15" s="482" t="s">
        <v>23</v>
      </c>
      <c r="T15" s="482"/>
      <c r="U15" s="482"/>
      <c r="V15" s="138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70">
        <v>44894</v>
      </c>
      <c r="D16" s="410">
        <v>0.58333333333333337</v>
      </c>
      <c r="E16" s="448" t="s">
        <v>195</v>
      </c>
      <c r="F16" s="175" t="s">
        <v>7</v>
      </c>
      <c r="G16" s="476" t="str">
        <f>Z17</f>
        <v>Gales</v>
      </c>
      <c r="H16" s="114">
        <f>VLOOKUP(B16,DB_PARTIDOS!$A$1:$I$65,5)</f>
        <v>0</v>
      </c>
      <c r="I16" s="476" t="str">
        <f>Z16</f>
        <v>Inglaterra</v>
      </c>
      <c r="J16" s="114">
        <f>VLOOKUP($B$16,DB_PARTIDOS!$A$1:$I$65,7)</f>
        <v>2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Inglaterra</v>
      </c>
      <c r="P16" s="383"/>
      <c r="Q16" s="383"/>
      <c r="R16" s="383"/>
      <c r="S16" s="418" t="str">
        <f>N7</f>
        <v>Inglaterra</v>
      </c>
      <c r="T16" s="418"/>
      <c r="U16" s="418"/>
      <c r="V16" s="218">
        <f>IF(OR(O16=S16,O16=S17),AC28,0)+IF(O16=S16,2,0)</f>
        <v>4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2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USA</v>
      </c>
      <c r="P17" s="384"/>
      <c r="Q17" s="384"/>
      <c r="R17" s="384"/>
      <c r="S17" s="419" t="str">
        <f>N9</f>
        <v>Gales</v>
      </c>
      <c r="T17" s="419"/>
      <c r="U17" s="419"/>
      <c r="V17" s="219">
        <f>IF(OR(O17=S17,O17=S16),AC28,0)+IF(O17=S17,2,0)</f>
        <v>0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110"/>
      <c r="F21" s="28"/>
      <c r="G21" s="28"/>
      <c r="H21" s="28"/>
      <c r="I21" s="28"/>
      <c r="J21" s="486" t="s">
        <v>91</v>
      </c>
      <c r="K21" s="487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71" t="s">
        <v>26</v>
      </c>
      <c r="E22" s="110"/>
      <c r="F22" s="28"/>
      <c r="G22" s="28"/>
      <c r="H22" s="28"/>
      <c r="I22" s="28"/>
      <c r="J22" s="488"/>
      <c r="K22" s="489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Inglaterra</v>
      </c>
      <c r="D23" s="109">
        <v>1</v>
      </c>
      <c r="E23" s="110"/>
      <c r="F23" s="28"/>
      <c r="G23" s="28"/>
      <c r="H23" s="28"/>
      <c r="I23" s="28"/>
      <c r="J23" s="490"/>
      <c r="K23" s="491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5" t="s">
        <v>81</v>
      </c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496"/>
      <c r="S2" s="496"/>
      <c r="T2" s="496"/>
      <c r="U2" s="496"/>
      <c r="V2" s="497"/>
    </row>
    <row r="3" spans="2:46" ht="15.75" customHeight="1" thickBot="1" x14ac:dyDescent="0.3">
      <c r="C3" s="498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500"/>
    </row>
    <row r="4" spans="2:46" x14ac:dyDescent="0.25">
      <c r="C4" s="501" t="s">
        <v>28</v>
      </c>
      <c r="D4" s="502"/>
      <c r="E4" s="502"/>
      <c r="F4" s="502"/>
      <c r="G4" s="502"/>
      <c r="H4" s="502"/>
      <c r="I4" s="502"/>
      <c r="J4" s="503"/>
      <c r="K4" s="504" t="s">
        <v>24</v>
      </c>
      <c r="L4" s="505"/>
      <c r="M4" s="506"/>
      <c r="N4" s="507" t="s">
        <v>21</v>
      </c>
      <c r="O4" s="505"/>
      <c r="P4" s="505"/>
      <c r="Q4" s="505"/>
      <c r="R4" s="505"/>
      <c r="S4" s="505"/>
      <c r="T4" s="505"/>
      <c r="U4" s="505"/>
      <c r="V4" s="508"/>
    </row>
    <row r="5" spans="2:46" ht="15.75" thickBot="1" x14ac:dyDescent="0.3">
      <c r="C5" s="182" t="s">
        <v>0</v>
      </c>
      <c r="D5" s="310" t="s">
        <v>1</v>
      </c>
      <c r="E5" s="310" t="s">
        <v>196</v>
      </c>
      <c r="F5" s="310" t="s">
        <v>2</v>
      </c>
      <c r="G5" s="512" t="s">
        <v>3</v>
      </c>
      <c r="H5" s="512"/>
      <c r="I5" s="512"/>
      <c r="J5" s="513"/>
      <c r="K5" s="322" t="s">
        <v>9</v>
      </c>
      <c r="L5" s="196" t="s">
        <v>10</v>
      </c>
      <c r="M5" s="197" t="s">
        <v>11</v>
      </c>
      <c r="N5" s="509"/>
      <c r="O5" s="510"/>
      <c r="P5" s="510"/>
      <c r="Q5" s="510"/>
      <c r="R5" s="510"/>
      <c r="S5" s="510"/>
      <c r="T5" s="510"/>
      <c r="U5" s="510"/>
      <c r="V5" s="511"/>
    </row>
    <row r="6" spans="2:46" ht="15.75" customHeight="1" thickBot="1" x14ac:dyDescent="0.3">
      <c r="B6" s="38" t="str">
        <f>CONCATENATE(MID($C$2,7,1),1)</f>
        <v>C1</v>
      </c>
      <c r="C6" s="514">
        <v>44887</v>
      </c>
      <c r="D6" s="516">
        <v>0.20833333333333334</v>
      </c>
      <c r="E6" s="473" t="s">
        <v>198</v>
      </c>
      <c r="F6" s="174" t="s">
        <v>7</v>
      </c>
      <c r="G6" s="475" t="str">
        <f>Z16</f>
        <v>Argentina</v>
      </c>
      <c r="H6" s="173">
        <f>VLOOKUP($B$6,DB_PARTIDOS!$A$1:$I$65,5)</f>
        <v>3</v>
      </c>
      <c r="I6" s="475" t="str">
        <f>Z19</f>
        <v>Arabia Saudita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2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515"/>
      <c r="D7" s="517"/>
      <c r="E7" s="474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Argentina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401">
        <f>AH21</f>
        <v>0</v>
      </c>
      <c r="Z7" s="430" t="str">
        <f>Z16</f>
        <v>Argentina</v>
      </c>
      <c r="AA7" s="427">
        <f>SUM(IF(AND($H$7&lt;&gt;"",$J$7&lt;&gt;"",$H$7&gt;$J$7),1,0)+IF(AND($H$11&lt;&gt;"",$J$11&lt;&gt;"",$H$11&gt;$J$11),1,0)+IF(AND($H$17&lt;&gt;"",$J$17&lt;&gt;"",$J$17&gt;$H$17),1,0))</f>
        <v>0</v>
      </c>
      <c r="AB7" s="427">
        <f>SUM(IF(AND($H$7&lt;&gt;"",$J$7&lt;&gt;"",$H$7=$J$7),1,0)+IF(AND($H$11&lt;&gt;"",$J$11&lt;&gt;"",$H$11=$J$11),1,0)+IF(AND($H$17&lt;&gt;"",$J$17&lt;&gt;"",$J$17=$H$17),1,0))</f>
        <v>0</v>
      </c>
      <c r="AC7" s="427">
        <f>SUM(IF(AND($H$7&lt;&gt;"",$J$7&lt;&gt;"",$H$7&lt;$J$7),1,0)+IF(AND($H$11&lt;&gt;"",$J$11&lt;&gt;"",$H$11&lt;$J$11),1,0)+IF(AND($H$17&lt;&gt;"",$J$17&lt;&gt;"",$J$17&lt;$H$17),1,0))</f>
        <v>0</v>
      </c>
      <c r="AD7" s="427">
        <f>SUM($H$7,$H$11,$J$17)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515">
        <v>44887</v>
      </c>
      <c r="D8" s="517">
        <v>0.45833333333333331</v>
      </c>
      <c r="E8" s="474">
        <v>974</v>
      </c>
      <c r="F8" s="175" t="s">
        <v>7</v>
      </c>
      <c r="G8" s="476" t="str">
        <f>Z17</f>
        <v>México</v>
      </c>
      <c r="H8" s="114">
        <f>VLOOKUP(B8,DB_PARTIDOS!$A$1:$I$65,5)</f>
        <v>1</v>
      </c>
      <c r="I8" s="476" t="str">
        <f>Z18</f>
        <v>Polonia</v>
      </c>
      <c r="J8" s="114">
        <f>VLOOKUP($B$8,DB_PARTIDOS!$A$1:$I$65,7)</f>
        <v>2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388"/>
      <c r="V8" s="401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515"/>
      <c r="D9" s="517"/>
      <c r="E9" s="474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México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388">
        <f t="shared" si="1"/>
        <v>0</v>
      </c>
      <c r="V9" s="401">
        <f t="shared" si="1"/>
        <v>0</v>
      </c>
      <c r="Z9" s="431" t="str">
        <f>Z17</f>
        <v>México</v>
      </c>
      <c r="AA9" s="425">
        <f>SUM(IF(AND($H$9&lt;&gt;"",$J$9&lt;&gt;"",$H$9&gt;$J$9),1,0)+IF(AND($H$11&lt;&gt;"",$J$11&lt;&gt;"",$J$11&gt;$H$11),1,0)+IF(AND($H$15&lt;&gt;"",$J$15&lt;&gt;"",$J$15&gt;$H$15),1,0))</f>
        <v>0</v>
      </c>
      <c r="AB9" s="425">
        <f>SUM(IF(AND($H$9&lt;&gt;"",$J$9&lt;&gt;"",$H$9=$J$9),1,0)+IF(AND($H$11&lt;&gt;"",$J$11&lt;&gt;"",$J$11=$H$11),1,0)+IF(AND($H$15&lt;&gt;"",$J$15&lt;&gt;"",$J$15=$H$15),1,0))</f>
        <v>0</v>
      </c>
      <c r="AC9" s="425">
        <f>SUM(IF(AND($H$9&lt;&gt;"",$J$9&lt;&gt;"",$H$9&lt;$J$9),1,0)+IF(AND($H$11&lt;&gt;"",$J$11&lt;&gt;"",$J$11&lt;$H$11),1,0)+IF(AND($H$15&lt;&gt;"",$J$15&lt;&gt;"",$J$15&lt;H$15),1,0))</f>
        <v>0</v>
      </c>
      <c r="AD9" s="425">
        <f>SUM($H$9,$J$11,$J$15)</f>
        <v>0</v>
      </c>
      <c r="AE9" s="434">
        <f>SUM($J$9,$H$11,$H$15)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515">
        <v>44891</v>
      </c>
      <c r="D10" s="517">
        <v>0.58333333333333337</v>
      </c>
      <c r="E10" s="474" t="s">
        <v>198</v>
      </c>
      <c r="F10" s="175" t="s">
        <v>7</v>
      </c>
      <c r="G10" s="476" t="str">
        <f>Z16</f>
        <v>Argentina</v>
      </c>
      <c r="H10" s="114">
        <f>VLOOKUP(B10,DB_PARTIDOS!$A$1:$I$65,5)</f>
        <v>2</v>
      </c>
      <c r="I10" s="476" t="str">
        <f>Z17</f>
        <v>México</v>
      </c>
      <c r="J10" s="114">
        <f>VLOOKUP($B$10,DB_PARTIDOS!$A$1:$I$65,7)</f>
        <v>1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388"/>
      <c r="V10" s="401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515"/>
      <c r="D11" s="517"/>
      <c r="E11" s="474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Polonia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388">
        <f t="shared" si="2"/>
        <v>0</v>
      </c>
      <c r="V11" s="401">
        <f t="shared" si="2"/>
        <v>0</v>
      </c>
      <c r="Z11" s="431" t="str">
        <f>Z18</f>
        <v>Polonia</v>
      </c>
      <c r="AA11" s="425">
        <f>SUM(IF(AND($H$9&lt;&gt;"",$J$9&lt;&gt;"",$J$9&gt;$H$9),1,0)+IF(AND($H$13&lt;&gt;"",$J$13&lt;&gt;"",$H$13&gt;$J$13),1,0)+IF(AND($H$17&lt;&gt;"",$J$17&lt;&gt;"",$H$17&gt;$J$17),1,0))</f>
        <v>0</v>
      </c>
      <c r="AB11" s="425">
        <f>SUM(IF(AND($H$9&lt;&gt;"",$J$9&lt;&gt;"",$J$9=$H$9),1,0)+IF(AND($H$13&lt;&gt;"",$J$13&lt;&gt;"",$H$13=$J$13),1,0)+IF(AND($H$17&lt;&gt;"",$J$17&lt;&gt;"",$H$17=$J$17),1,0))</f>
        <v>0</v>
      </c>
      <c r="AC11" s="425">
        <f>SUM(IF(AND($H$9&lt;&gt;"",$J$9&lt;&gt;"",$J$9&lt;$H$9),1,0)+IF(AND($H$13&lt;&gt;"",$J$13&lt;&gt;"",$H$13&lt;$J$13),1,0)+IF(AND($H$17&lt;&gt;"",$J$17&lt;&gt;"",$H$17&lt;$J$17),1,0))</f>
        <v>0</v>
      </c>
      <c r="AD11" s="425">
        <f>SUM($J$9,$H$13,$H$17)</f>
        <v>0</v>
      </c>
      <c r="AE11" s="434">
        <f>SUM($H$9,$J$13,$J$17)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515">
        <v>44891</v>
      </c>
      <c r="D12" s="517">
        <v>0.33333333333333331</v>
      </c>
      <c r="E12" s="474" t="s">
        <v>197</v>
      </c>
      <c r="F12" s="175" t="s">
        <v>7</v>
      </c>
      <c r="G12" s="476" t="str">
        <f>Z18</f>
        <v>Polonia</v>
      </c>
      <c r="H12" s="114">
        <f>VLOOKUP(B12,DB_PARTIDOS!$A$1:$I$65,5)</f>
        <v>2</v>
      </c>
      <c r="I12" s="476" t="str">
        <f>Z19</f>
        <v>Arabia Saudita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388"/>
      <c r="V12" s="401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515"/>
      <c r="D13" s="517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Arabia Saudita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388">
        <f t="shared" si="3"/>
        <v>0</v>
      </c>
      <c r="V13" s="401">
        <f t="shared" si="3"/>
        <v>0</v>
      </c>
      <c r="Z13" s="431" t="str">
        <f>Z21</f>
        <v>Argentina</v>
      </c>
      <c r="AA13" s="425">
        <f>SUM(IF(AND($H$7&lt;&gt;"",$J$7&lt;&gt;"",$J$7&gt;$H$7),1,0)+IF(AND($H$13&lt;&gt;"",$J$13&lt;&gt;"",$J$13&gt;$H$13),1,0)+IF(AND($H$15&lt;&gt;"",$J$15&lt;&gt;"",$H$15&gt;$J$15),1,0))</f>
        <v>0</v>
      </c>
      <c r="AB13" s="425">
        <f>SUM(IF(AND($H$7&lt;&gt;"",$J$7&lt;&gt;"",$J$7=$H$7),1,0)+IF(AND($H$13&lt;&gt;"",$J$13&lt;&gt;"",$J$13=$H$13),1,0)+IF(AND($H$15&lt;&gt;"",$J$15&lt;&gt;"",$H$15=$J$15),1,0))</f>
        <v>0</v>
      </c>
      <c r="AC13" s="425">
        <f>SUM(IF(AND($H$7&lt;&gt;"",$J$7&lt;&gt;"",$J$7&lt;$H$7),1,0)+IF(AND($H$13&lt;&gt;"",$J$13&lt;&gt;"",$J$13&lt;$H$13),1,0)+IF(AND($H$15&lt;&gt;"",$J$15&lt;&gt;"",$H$15&lt;$J$15),1,0))</f>
        <v>0</v>
      </c>
      <c r="AD13" s="425">
        <f>SUM($J$7,$J$13,$H$15)</f>
        <v>0</v>
      </c>
      <c r="AE13" s="434">
        <f>SUM($H$7,$H$13,$J$15)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515">
        <v>44895</v>
      </c>
      <c r="D14" s="517">
        <v>0.58333333333333337</v>
      </c>
      <c r="E14" s="474" t="s">
        <v>198</v>
      </c>
      <c r="F14" s="175" t="s">
        <v>7</v>
      </c>
      <c r="G14" s="476" t="str">
        <f>Z19</f>
        <v>Arabia Saudita</v>
      </c>
      <c r="H14" s="114">
        <f>VLOOKUP(B14,DB_PARTIDOS!$A$1:$I$65,5)</f>
        <v>0</v>
      </c>
      <c r="I14" s="476" t="str">
        <f>Z17</f>
        <v>México</v>
      </c>
      <c r="J14" s="114">
        <f>VLOOKUP($B$14,DB_PARTIDOS!$A$1:$I$65,7)</f>
        <v>1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423"/>
      <c r="V14" s="424"/>
      <c r="Z14" s="431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515"/>
      <c r="D15" s="517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3" t="s">
        <v>26</v>
      </c>
      <c r="O15" s="518" t="s">
        <v>22</v>
      </c>
      <c r="P15" s="518"/>
      <c r="Q15" s="518"/>
      <c r="R15" s="518"/>
      <c r="S15" s="518" t="s">
        <v>23</v>
      </c>
      <c r="T15" s="518"/>
      <c r="U15" s="518"/>
      <c r="V15" s="137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515">
        <v>44895</v>
      </c>
      <c r="D16" s="517">
        <v>0.58333333333333337</v>
      </c>
      <c r="E16" s="474">
        <v>974</v>
      </c>
      <c r="F16" s="175" t="s">
        <v>7</v>
      </c>
      <c r="G16" s="476" t="str">
        <f>Z18</f>
        <v>Polonia</v>
      </c>
      <c r="H16" s="114">
        <f>VLOOKUP(B16,DB_PARTIDOS!$A$1:$I$65,5)</f>
        <v>1</v>
      </c>
      <c r="I16" s="476" t="str">
        <f>Z16</f>
        <v>Argentina</v>
      </c>
      <c r="J16" s="114">
        <f>VLOOKUP($B$16,DB_PARTIDOS!$A$1:$I$65,7)</f>
        <v>2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Argentina</v>
      </c>
      <c r="P16" s="383"/>
      <c r="Q16" s="383"/>
      <c r="R16" s="383"/>
      <c r="S16" s="418" t="str">
        <f>N7</f>
        <v>Argentina</v>
      </c>
      <c r="T16" s="418"/>
      <c r="U16" s="418"/>
      <c r="V16" s="218">
        <f>IF(OR(O16=S16,O16=S17),AC28,0)+IF(O16=S16,2,0)</f>
        <v>4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525"/>
      <c r="D17" s="526"/>
      <c r="E17" s="527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Polonia</v>
      </c>
      <c r="P17" s="384"/>
      <c r="Q17" s="384"/>
      <c r="R17" s="384"/>
      <c r="S17" s="419" t="str">
        <f>N9</f>
        <v>México</v>
      </c>
      <c r="T17" s="419"/>
      <c r="U17" s="419"/>
      <c r="V17" s="219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519" t="s">
        <v>90</v>
      </c>
      <c r="K21" s="520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2" t="s">
        <v>57</v>
      </c>
      <c r="D22" s="170" t="s">
        <v>26</v>
      </c>
      <c r="E22" s="28"/>
      <c r="F22" s="28"/>
      <c r="G22" s="28"/>
      <c r="H22" s="28"/>
      <c r="I22" s="28"/>
      <c r="J22" s="521"/>
      <c r="K22" s="522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Argentina</v>
      </c>
      <c r="D23" s="109">
        <v>1</v>
      </c>
      <c r="E23" s="28"/>
      <c r="F23" s="28"/>
      <c r="G23" s="28"/>
      <c r="H23" s="28"/>
      <c r="I23" s="28"/>
      <c r="J23" s="523"/>
      <c r="K23" s="524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Argentina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28" t="s">
        <v>82</v>
      </c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30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1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3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4" t="s">
        <v>28</v>
      </c>
      <c r="D4" s="535"/>
      <c r="E4" s="535"/>
      <c r="F4" s="535"/>
      <c r="G4" s="535"/>
      <c r="H4" s="535"/>
      <c r="I4" s="535"/>
      <c r="J4" s="536"/>
      <c r="K4" s="537" t="s">
        <v>24</v>
      </c>
      <c r="L4" s="538"/>
      <c r="M4" s="539"/>
      <c r="N4" s="540" t="s">
        <v>21</v>
      </c>
      <c r="O4" s="538"/>
      <c r="P4" s="538"/>
      <c r="Q4" s="538"/>
      <c r="R4" s="538"/>
      <c r="S4" s="538"/>
      <c r="T4" s="538"/>
      <c r="U4" s="538"/>
      <c r="V4" s="541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81" t="s">
        <v>0</v>
      </c>
      <c r="D5" s="311" t="s">
        <v>1</v>
      </c>
      <c r="E5" s="311" t="s">
        <v>196</v>
      </c>
      <c r="F5" s="311" t="s">
        <v>2</v>
      </c>
      <c r="G5" s="545" t="s">
        <v>3</v>
      </c>
      <c r="H5" s="545"/>
      <c r="I5" s="545"/>
      <c r="J5" s="546"/>
      <c r="K5" s="321" t="s">
        <v>9</v>
      </c>
      <c r="L5" s="194" t="s">
        <v>10</v>
      </c>
      <c r="M5" s="195" t="s">
        <v>11</v>
      </c>
      <c r="N5" s="542"/>
      <c r="O5" s="543"/>
      <c r="P5" s="543"/>
      <c r="Q5" s="543"/>
      <c r="R5" s="543"/>
      <c r="S5" s="543"/>
      <c r="T5" s="543"/>
      <c r="U5" s="543"/>
      <c r="V5" s="544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69">
        <v>44887</v>
      </c>
      <c r="D6" s="471">
        <v>0.58333333333333337</v>
      </c>
      <c r="E6" s="473" t="s">
        <v>199</v>
      </c>
      <c r="F6" s="174" t="s">
        <v>7</v>
      </c>
      <c r="G6" s="475" t="str">
        <f>Z16</f>
        <v>Francia</v>
      </c>
      <c r="H6" s="173">
        <f>VLOOKUP($B$6,DB_PARTIDOS!$A$1:$I$65,5)</f>
        <v>3</v>
      </c>
      <c r="I6" s="475" t="str">
        <f>Z19</f>
        <v>Australia</v>
      </c>
      <c r="J6" s="173">
        <f>VLOOKUP($B$6,DB_PARTIDOS!$A$1:$I$65,7)</f>
        <v>1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10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70"/>
      <c r="D7" s="472"/>
      <c r="E7" s="474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Francia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547">
        <f t="shared" si="0"/>
        <v>0</v>
      </c>
      <c r="V7" s="401">
        <f>AH21</f>
        <v>0</v>
      </c>
      <c r="W7" s="28"/>
      <c r="X7" s="28"/>
      <c r="Y7" s="28"/>
      <c r="Z7" s="430" t="str">
        <f>Z16</f>
        <v>Francia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70">
        <v>44887</v>
      </c>
      <c r="D8" s="472">
        <v>0.33333333333333331</v>
      </c>
      <c r="E8" s="474" t="s">
        <v>197</v>
      </c>
      <c r="F8" s="175" t="s">
        <v>7</v>
      </c>
      <c r="G8" s="476" t="str">
        <f>Z18</f>
        <v>Dinamarca</v>
      </c>
      <c r="H8" s="114">
        <f>VLOOKUP(B8,DB_PARTIDOS!$A$1:$I$65,5)</f>
        <v>2</v>
      </c>
      <c r="I8" s="476" t="str">
        <f>Z17</f>
        <v>Túnez</v>
      </c>
      <c r="J8" s="114">
        <f>VLOOKUP($B$8,DB_PARTIDOS!$A$1:$I$65,7)</f>
        <v>0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547"/>
      <c r="V8" s="401"/>
      <c r="W8" s="28"/>
      <c r="X8" s="28"/>
      <c r="Y8" s="28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70"/>
      <c r="D9" s="472"/>
      <c r="E9" s="474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Túnez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547">
        <f t="shared" si="1"/>
        <v>0</v>
      </c>
      <c r="V9" s="401">
        <f t="shared" si="1"/>
        <v>0</v>
      </c>
      <c r="W9" s="28"/>
      <c r="X9" s="28"/>
      <c r="Y9" s="28"/>
      <c r="Z9" s="431" t="str">
        <f>Z17</f>
        <v>Túnez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70">
        <v>44891</v>
      </c>
      <c r="D10" s="472">
        <v>0.20833333333333334</v>
      </c>
      <c r="E10" s="474" t="s">
        <v>199</v>
      </c>
      <c r="F10" s="175" t="s">
        <v>7</v>
      </c>
      <c r="G10" s="476" t="str">
        <f>Z17</f>
        <v>Túnez</v>
      </c>
      <c r="H10" s="114">
        <f>VLOOKUP(B10,DB_PARTIDOS!$A$1:$I$65,5)</f>
        <v>1</v>
      </c>
      <c r="I10" s="476" t="str">
        <f>Z19</f>
        <v>Australia</v>
      </c>
      <c r="J10" s="114">
        <f>VLOOKUP($B$10,DB_PARTIDOS!$A$1:$I$65,7)</f>
        <v>2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547"/>
      <c r="V10" s="401"/>
      <c r="W10" s="28"/>
      <c r="X10" s="28"/>
      <c r="Y10" s="28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70"/>
      <c r="D11" s="472"/>
      <c r="E11" s="474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Dinamarca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547">
        <f t="shared" si="2"/>
        <v>0</v>
      </c>
      <c r="V11" s="401">
        <f t="shared" si="2"/>
        <v>0</v>
      </c>
      <c r="W11" s="28"/>
      <c r="X11" s="28"/>
      <c r="Y11" s="28"/>
      <c r="Z11" s="431" t="str">
        <f>Z18</f>
        <v>Dinamarca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70">
        <v>44891</v>
      </c>
      <c r="D12" s="472">
        <v>0.45833333333333331</v>
      </c>
      <c r="E12" s="474">
        <v>974</v>
      </c>
      <c r="F12" s="175" t="s">
        <v>7</v>
      </c>
      <c r="G12" s="476" t="str">
        <f>Z16</f>
        <v>Francia</v>
      </c>
      <c r="H12" s="114">
        <f>VLOOKUP(B12,DB_PARTIDOS!$A$1:$I$65,5)</f>
        <v>2</v>
      </c>
      <c r="I12" s="476" t="str">
        <f>Z18</f>
        <v>Dinamarca</v>
      </c>
      <c r="J12" s="114">
        <f>VLOOKUP($B$12,DB_PARTIDOS!$A$1:$I$65,7)</f>
        <v>1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547"/>
      <c r="V12" s="401"/>
      <c r="W12" s="28"/>
      <c r="X12" s="28"/>
      <c r="Y12" s="28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70"/>
      <c r="D13" s="472"/>
      <c r="E13" s="474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Australia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547">
        <f t="shared" si="3"/>
        <v>0</v>
      </c>
      <c r="V13" s="401">
        <f t="shared" si="3"/>
        <v>0</v>
      </c>
      <c r="W13" s="28"/>
      <c r="X13" s="28"/>
      <c r="Y13" s="28"/>
      <c r="Z13" s="431" t="str">
        <f>Z19</f>
        <v>Australia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70">
        <v>44895</v>
      </c>
      <c r="D14" s="472">
        <v>0.41666666666666669</v>
      </c>
      <c r="E14" s="474" t="s">
        <v>199</v>
      </c>
      <c r="F14" s="175" t="s">
        <v>7</v>
      </c>
      <c r="G14" s="476" t="str">
        <f>Z19</f>
        <v>Australia</v>
      </c>
      <c r="H14" s="114">
        <f>VLOOKUP(B14,DB_PARTIDOS!$A$1:$I$65,5)</f>
        <v>0</v>
      </c>
      <c r="I14" s="476" t="str">
        <f>Z18</f>
        <v>Dinamarca</v>
      </c>
      <c r="J14" s="114">
        <f>VLOOKUP($B$14,DB_PARTIDOS!$A$1:$I$65,7)</f>
        <v>2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549"/>
      <c r="V14" s="424"/>
      <c r="W14" s="28"/>
      <c r="X14" s="28"/>
      <c r="Y14" s="28"/>
      <c r="Z14" s="431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70"/>
      <c r="D15" s="472"/>
      <c r="E15" s="474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11" t="s">
        <v>26</v>
      </c>
      <c r="O15" s="548" t="s">
        <v>22</v>
      </c>
      <c r="P15" s="548"/>
      <c r="Q15" s="548"/>
      <c r="R15" s="548"/>
      <c r="S15" s="548" t="s">
        <v>23</v>
      </c>
      <c r="T15" s="548"/>
      <c r="U15" s="548"/>
      <c r="V15" s="136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70">
        <v>44895</v>
      </c>
      <c r="D16" s="472">
        <v>0.41666666666666669</v>
      </c>
      <c r="E16" s="474" t="s">
        <v>197</v>
      </c>
      <c r="F16" s="175" t="s">
        <v>7</v>
      </c>
      <c r="G16" s="476" t="str">
        <f>Z17</f>
        <v>Túnez</v>
      </c>
      <c r="H16" s="114">
        <f>VLOOKUP(B16,DB_PARTIDOS!$A$1:$I$65,5)</f>
        <v>0</v>
      </c>
      <c r="I16" s="476" t="str">
        <f>Z16</f>
        <v>Francia</v>
      </c>
      <c r="J16" s="114">
        <f>VLOOKUP($B$16,DB_PARTIDOS!$A$1:$I$65,7)</f>
        <v>3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Francia</v>
      </c>
      <c r="P16" s="383"/>
      <c r="Q16" s="383"/>
      <c r="R16" s="383"/>
      <c r="S16" s="550" t="str">
        <f>N7</f>
        <v>Francia</v>
      </c>
      <c r="T16" s="550"/>
      <c r="U16" s="550"/>
      <c r="V16" s="218">
        <f>IF(OR(O16=S16,O16=S17),AC28,0)+IF(O16=S16,2,0)</f>
        <v>4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92"/>
      <c r="D17" s="557"/>
      <c r="E17" s="527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Dinamarca</v>
      </c>
      <c r="P17" s="384"/>
      <c r="Q17" s="384"/>
      <c r="R17" s="384"/>
      <c r="S17" s="386" t="str">
        <f>N9</f>
        <v>Túnez</v>
      </c>
      <c r="T17" s="386"/>
      <c r="U17" s="386"/>
      <c r="V17" s="219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443"/>
      <c r="D21" s="444"/>
      <c r="E21" s="28"/>
      <c r="F21" s="28"/>
      <c r="G21" s="28"/>
      <c r="H21" s="28"/>
      <c r="I21" s="28"/>
      <c r="J21" s="551" t="s">
        <v>89</v>
      </c>
      <c r="K21" s="552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61" t="s">
        <v>57</v>
      </c>
      <c r="D22" s="169" t="s">
        <v>26</v>
      </c>
      <c r="E22" s="28"/>
      <c r="F22" s="28"/>
      <c r="G22" s="28"/>
      <c r="H22" s="28"/>
      <c r="I22" s="28"/>
      <c r="J22" s="553"/>
      <c r="K22" s="554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20" t="str">
        <f>Z7</f>
        <v>Francia</v>
      </c>
      <c r="D23" s="109">
        <v>1</v>
      </c>
      <c r="E23" s="28"/>
      <c r="F23" s="28"/>
      <c r="G23" s="28"/>
      <c r="H23" s="28"/>
      <c r="I23" s="28"/>
      <c r="J23" s="555"/>
      <c r="K23" s="556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2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2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2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428" t="s">
        <v>65</v>
      </c>
      <c r="AB26" s="420"/>
      <c r="AC26" s="429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58" t="s">
        <v>83</v>
      </c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60"/>
    </row>
    <row r="3" spans="2:46" ht="15.75" customHeight="1" thickBot="1" x14ac:dyDescent="0.3">
      <c r="C3" s="561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3"/>
    </row>
    <row r="4" spans="2:46" x14ac:dyDescent="0.25">
      <c r="C4" s="564" t="s">
        <v>28</v>
      </c>
      <c r="D4" s="565"/>
      <c r="E4" s="565"/>
      <c r="F4" s="565"/>
      <c r="G4" s="565"/>
      <c r="H4" s="565"/>
      <c r="I4" s="565"/>
      <c r="J4" s="566"/>
      <c r="K4" s="567" t="s">
        <v>24</v>
      </c>
      <c r="L4" s="568"/>
      <c r="M4" s="569"/>
      <c r="N4" s="570" t="s">
        <v>21</v>
      </c>
      <c r="O4" s="568"/>
      <c r="P4" s="568"/>
      <c r="Q4" s="568"/>
      <c r="R4" s="568"/>
      <c r="S4" s="568"/>
      <c r="T4" s="568"/>
      <c r="U4" s="568"/>
      <c r="V4" s="571"/>
    </row>
    <row r="5" spans="2:46" ht="15.75" thickBot="1" x14ac:dyDescent="0.3">
      <c r="C5" s="180" t="s">
        <v>0</v>
      </c>
      <c r="D5" s="312" t="s">
        <v>1</v>
      </c>
      <c r="E5" s="312" t="s">
        <v>196</v>
      </c>
      <c r="F5" s="312" t="s">
        <v>2</v>
      </c>
      <c r="G5" s="575" t="s">
        <v>3</v>
      </c>
      <c r="H5" s="575"/>
      <c r="I5" s="575"/>
      <c r="J5" s="576"/>
      <c r="K5" s="320" t="s">
        <v>9</v>
      </c>
      <c r="L5" s="192" t="s">
        <v>10</v>
      </c>
      <c r="M5" s="193" t="s">
        <v>11</v>
      </c>
      <c r="N5" s="572"/>
      <c r="O5" s="573"/>
      <c r="P5" s="573"/>
      <c r="Q5" s="573"/>
      <c r="R5" s="573"/>
      <c r="S5" s="573"/>
      <c r="T5" s="573"/>
      <c r="U5" s="573"/>
      <c r="V5" s="574"/>
    </row>
    <row r="6" spans="2:46" ht="15.75" thickBot="1" x14ac:dyDescent="0.3">
      <c r="B6" s="38" t="str">
        <f>CONCATENATE(MID($C$2,7,1),1)</f>
        <v>E1</v>
      </c>
      <c r="C6" s="407">
        <v>44888</v>
      </c>
      <c r="D6" s="409">
        <v>0.45833333333333331</v>
      </c>
      <c r="E6" s="411" t="s">
        <v>193</v>
      </c>
      <c r="F6" s="174" t="s">
        <v>7</v>
      </c>
      <c r="G6" s="475" t="str">
        <f>Z16</f>
        <v>España</v>
      </c>
      <c r="H6" s="173">
        <f>VLOOKUP($B$6,DB_PARTIDOS!$A$1:$I$65,5)</f>
        <v>3</v>
      </c>
      <c r="I6" s="475" t="str">
        <f>Z19</f>
        <v>Costa Rica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8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387" t="str">
        <f>Z21</f>
        <v>España</v>
      </c>
      <c r="O7" s="388">
        <f t="shared" ref="O7:U7" si="0">AA21</f>
        <v>0</v>
      </c>
      <c r="P7" s="388">
        <f t="shared" si="0"/>
        <v>0</v>
      </c>
      <c r="Q7" s="388">
        <f t="shared" si="0"/>
        <v>0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547">
        <f t="shared" si="0"/>
        <v>0</v>
      </c>
      <c r="V7" s="401">
        <f>AH21</f>
        <v>0</v>
      </c>
      <c r="Z7" s="430" t="str">
        <f>Z16</f>
        <v>España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408">
        <v>44888</v>
      </c>
      <c r="D8" s="410">
        <v>0.33333333333333331</v>
      </c>
      <c r="E8" s="448" t="s">
        <v>200</v>
      </c>
      <c r="F8" s="175" t="s">
        <v>7</v>
      </c>
      <c r="G8" s="476" t="str">
        <f>Z18</f>
        <v>Alemania</v>
      </c>
      <c r="H8" s="114">
        <f>VLOOKUP(B8,DB_PARTIDOS!$A$1:$I$65,5)</f>
        <v>2</v>
      </c>
      <c r="I8" s="476" t="str">
        <f>Z17</f>
        <v>Japón</v>
      </c>
      <c r="J8" s="114">
        <f>VLOOKUP($B$8,DB_PARTIDOS!$A$1:$I$65,7)</f>
        <v>1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387"/>
      <c r="O8" s="388"/>
      <c r="P8" s="388"/>
      <c r="Q8" s="388"/>
      <c r="R8" s="388"/>
      <c r="S8" s="388"/>
      <c r="T8" s="388"/>
      <c r="U8" s="547"/>
      <c r="V8" s="401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387" t="str">
        <f>Z22</f>
        <v>Japón</v>
      </c>
      <c r="O9" s="388">
        <f t="shared" ref="O9:V9" si="1">AA22</f>
        <v>0</v>
      </c>
      <c r="P9" s="388">
        <f t="shared" si="1"/>
        <v>0</v>
      </c>
      <c r="Q9" s="388">
        <f t="shared" si="1"/>
        <v>0</v>
      </c>
      <c r="R9" s="388">
        <f t="shared" si="1"/>
        <v>0</v>
      </c>
      <c r="S9" s="388">
        <f t="shared" si="1"/>
        <v>0</v>
      </c>
      <c r="T9" s="388">
        <f t="shared" si="1"/>
        <v>0</v>
      </c>
      <c r="U9" s="547">
        <f t="shared" si="1"/>
        <v>0</v>
      </c>
      <c r="V9" s="401">
        <f t="shared" si="1"/>
        <v>0</v>
      </c>
      <c r="Z9" s="431" t="str">
        <f>Z17</f>
        <v>Japón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408">
        <v>44892</v>
      </c>
      <c r="D10" s="410">
        <v>0.20833333333333334</v>
      </c>
      <c r="E10" s="448" t="s">
        <v>195</v>
      </c>
      <c r="F10" s="175" t="s">
        <v>7</v>
      </c>
      <c r="G10" s="476" t="str">
        <f>Z17</f>
        <v>Japón</v>
      </c>
      <c r="H10" s="114">
        <f>VLOOKUP(B10,DB_PARTIDOS!$A$1:$I$65,5)</f>
        <v>2</v>
      </c>
      <c r="I10" s="476" t="str">
        <f>Z19</f>
        <v>Costa Rica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387"/>
      <c r="O10" s="388"/>
      <c r="P10" s="388"/>
      <c r="Q10" s="388"/>
      <c r="R10" s="388"/>
      <c r="S10" s="388"/>
      <c r="T10" s="388"/>
      <c r="U10" s="547"/>
      <c r="V10" s="401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387" t="str">
        <f>Z23</f>
        <v>Alemania</v>
      </c>
      <c r="O11" s="388">
        <f t="shared" ref="O11:V11" si="2">AA23</f>
        <v>0</v>
      </c>
      <c r="P11" s="388">
        <f t="shared" si="2"/>
        <v>0</v>
      </c>
      <c r="Q11" s="388">
        <f t="shared" si="2"/>
        <v>0</v>
      </c>
      <c r="R11" s="388">
        <f t="shared" si="2"/>
        <v>0</v>
      </c>
      <c r="S11" s="388">
        <f t="shared" si="2"/>
        <v>0</v>
      </c>
      <c r="T11" s="388">
        <f t="shared" si="2"/>
        <v>0</v>
      </c>
      <c r="U11" s="547">
        <f t="shared" si="2"/>
        <v>0</v>
      </c>
      <c r="V11" s="401">
        <f t="shared" si="2"/>
        <v>0</v>
      </c>
      <c r="Z11" s="431" t="str">
        <f>Z18</f>
        <v>Alemania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408">
        <v>44892</v>
      </c>
      <c r="D12" s="410">
        <v>0.58333333333333337</v>
      </c>
      <c r="E12" s="388" t="s">
        <v>192</v>
      </c>
      <c r="F12" s="175" t="s">
        <v>7</v>
      </c>
      <c r="G12" s="476" t="str">
        <f>Z16</f>
        <v>España</v>
      </c>
      <c r="H12" s="114">
        <f>VLOOKUP(B12,DB_PARTIDOS!$A$1:$I$65,5)</f>
        <v>2</v>
      </c>
      <c r="I12" s="476" t="str">
        <f>Z18</f>
        <v>Alemania</v>
      </c>
      <c r="J12" s="114">
        <f>VLOOKUP($B$12,DB_PARTIDOS!$A$1:$I$65,7)</f>
        <v>2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387"/>
      <c r="O12" s="388"/>
      <c r="P12" s="388"/>
      <c r="Q12" s="388"/>
      <c r="R12" s="388"/>
      <c r="S12" s="388"/>
      <c r="T12" s="388"/>
      <c r="U12" s="547"/>
      <c r="V12" s="401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387" t="str">
        <f>Z24</f>
        <v>Costa Rica</v>
      </c>
      <c r="O13" s="388">
        <f t="shared" ref="O13:V13" si="3">AA24</f>
        <v>0</v>
      </c>
      <c r="P13" s="388">
        <f t="shared" si="3"/>
        <v>0</v>
      </c>
      <c r="Q13" s="388">
        <f t="shared" si="3"/>
        <v>0</v>
      </c>
      <c r="R13" s="388">
        <f t="shared" si="3"/>
        <v>0</v>
      </c>
      <c r="S13" s="388">
        <f t="shared" si="3"/>
        <v>0</v>
      </c>
      <c r="T13" s="388">
        <f t="shared" si="3"/>
        <v>0</v>
      </c>
      <c r="U13" s="547">
        <f t="shared" si="3"/>
        <v>0</v>
      </c>
      <c r="V13" s="401">
        <f t="shared" si="3"/>
        <v>0</v>
      </c>
      <c r="Z13" s="431" t="str">
        <f>Z19</f>
        <v>Costa Rica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408">
        <v>44896</v>
      </c>
      <c r="D14" s="410">
        <v>0.58333333333333337</v>
      </c>
      <c r="E14" s="388" t="s">
        <v>192</v>
      </c>
      <c r="F14" s="175" t="s">
        <v>7</v>
      </c>
      <c r="G14" s="476" t="str">
        <f>Z19</f>
        <v>Costa Rica</v>
      </c>
      <c r="H14" s="114">
        <f>VLOOKUP(B14,DB_PARTIDOS!$A$1:$I$65,5)</f>
        <v>0</v>
      </c>
      <c r="I14" s="476" t="str">
        <f>Z18</f>
        <v>Alemania</v>
      </c>
      <c r="J14" s="114">
        <f>VLOOKUP($B$14,DB_PARTIDOS!$A$1:$I$65,7)</f>
        <v>3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22"/>
      <c r="O14" s="423"/>
      <c r="P14" s="423"/>
      <c r="Q14" s="423"/>
      <c r="R14" s="423"/>
      <c r="S14" s="423"/>
      <c r="T14" s="423"/>
      <c r="U14" s="549"/>
      <c r="V14" s="42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9" t="s">
        <v>26</v>
      </c>
      <c r="O15" s="577" t="s">
        <v>22</v>
      </c>
      <c r="P15" s="577"/>
      <c r="Q15" s="577"/>
      <c r="R15" s="577"/>
      <c r="S15" s="577" t="s">
        <v>23</v>
      </c>
      <c r="T15" s="577"/>
      <c r="U15" s="577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408">
        <v>44896</v>
      </c>
      <c r="D16" s="410">
        <v>0.58333333333333337</v>
      </c>
      <c r="E16" s="448" t="s">
        <v>200</v>
      </c>
      <c r="F16" s="175" t="s">
        <v>7</v>
      </c>
      <c r="G16" s="476" t="str">
        <f>Z17</f>
        <v>Japón</v>
      </c>
      <c r="H16" s="114">
        <f>VLOOKUP(B16,DB_PARTIDOS!$A$1:$I$65,5)</f>
        <v>1</v>
      </c>
      <c r="I16" s="476" t="str">
        <f>Z16</f>
        <v>España</v>
      </c>
      <c r="J16" s="114">
        <f>VLOOKUP($B$16,DB_PARTIDOS!$A$1:$I$65,7)</f>
        <v>3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España</v>
      </c>
      <c r="P16" s="383"/>
      <c r="Q16" s="383"/>
      <c r="R16" s="383"/>
      <c r="S16" s="418" t="str">
        <f>N7</f>
        <v>España</v>
      </c>
      <c r="T16" s="418"/>
      <c r="U16" s="418"/>
      <c r="V16" s="218">
        <f>IF(OR(O16=S16,O16=S17),AC28,0)+IF(O16=S16,2,0)</f>
        <v>4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Alemania</v>
      </c>
      <c r="P17" s="384"/>
      <c r="Q17" s="384"/>
      <c r="R17" s="384"/>
      <c r="S17" s="419" t="str">
        <f>N9</f>
        <v>Japón</v>
      </c>
      <c r="T17" s="419"/>
      <c r="U17" s="419"/>
      <c r="V17" s="219">
        <f>IF(OR(O17=S17,O17=S16),AC28,0)+IF(O17=S17,2,0)</f>
        <v>0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578" t="s">
        <v>88</v>
      </c>
      <c r="K21" s="579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0" t="s">
        <v>57</v>
      </c>
      <c r="D22" s="168" t="s">
        <v>26</v>
      </c>
      <c r="E22" s="28"/>
      <c r="F22" s="28"/>
      <c r="G22" s="28"/>
      <c r="H22" s="28"/>
      <c r="I22" s="28"/>
      <c r="J22" s="580"/>
      <c r="K22" s="581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España</v>
      </c>
      <c r="D23" s="140">
        <v>1</v>
      </c>
      <c r="E23" s="28"/>
      <c r="F23" s="28"/>
      <c r="G23" s="28"/>
      <c r="H23" s="28"/>
      <c r="I23" s="28"/>
      <c r="J23" s="582"/>
      <c r="K23" s="583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4" t="s">
        <v>84</v>
      </c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5"/>
      <c r="S2" s="585"/>
      <c r="T2" s="585"/>
      <c r="U2" s="585"/>
      <c r="V2" s="586"/>
    </row>
    <row r="3" spans="2:46" ht="15.75" customHeight="1" thickBot="1" x14ac:dyDescent="0.3">
      <c r="C3" s="587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9"/>
    </row>
    <row r="4" spans="2:46" x14ac:dyDescent="0.25">
      <c r="C4" s="590" t="s">
        <v>28</v>
      </c>
      <c r="D4" s="591"/>
      <c r="E4" s="591"/>
      <c r="F4" s="591"/>
      <c r="G4" s="591"/>
      <c r="H4" s="591"/>
      <c r="I4" s="591"/>
      <c r="J4" s="592"/>
      <c r="K4" s="593" t="s">
        <v>24</v>
      </c>
      <c r="L4" s="594"/>
      <c r="M4" s="595"/>
      <c r="N4" s="596" t="s">
        <v>21</v>
      </c>
      <c r="O4" s="594"/>
      <c r="P4" s="594"/>
      <c r="Q4" s="594"/>
      <c r="R4" s="594"/>
      <c r="S4" s="594"/>
      <c r="T4" s="594"/>
      <c r="U4" s="594"/>
      <c r="V4" s="597"/>
    </row>
    <row r="5" spans="2:46" ht="15.75" thickBot="1" x14ac:dyDescent="0.3">
      <c r="C5" s="179" t="s">
        <v>0</v>
      </c>
      <c r="D5" s="313" t="s">
        <v>1</v>
      </c>
      <c r="E5" s="313" t="s">
        <v>196</v>
      </c>
      <c r="F5" s="313" t="s">
        <v>2</v>
      </c>
      <c r="G5" s="601" t="s">
        <v>3</v>
      </c>
      <c r="H5" s="601"/>
      <c r="I5" s="601"/>
      <c r="J5" s="602"/>
      <c r="K5" s="319" t="s">
        <v>9</v>
      </c>
      <c r="L5" s="190" t="s">
        <v>10</v>
      </c>
      <c r="M5" s="191" t="s">
        <v>11</v>
      </c>
      <c r="N5" s="598"/>
      <c r="O5" s="599"/>
      <c r="P5" s="599"/>
      <c r="Q5" s="599"/>
      <c r="R5" s="599"/>
      <c r="S5" s="599"/>
      <c r="T5" s="599"/>
      <c r="U5" s="599"/>
      <c r="V5" s="600"/>
    </row>
    <row r="6" spans="2:46" ht="15.75" customHeight="1" thickBot="1" x14ac:dyDescent="0.3">
      <c r="B6" s="38" t="str">
        <f>CONCATENATE(MID($C$2,7,1),1)</f>
        <v>F1</v>
      </c>
      <c r="C6" s="407">
        <v>44888</v>
      </c>
      <c r="D6" s="409">
        <v>0.58333333333333337</v>
      </c>
      <c r="E6" s="603" t="s">
        <v>195</v>
      </c>
      <c r="F6" s="174" t="s">
        <v>7</v>
      </c>
      <c r="G6" s="475" t="str">
        <f>Z16</f>
        <v>Bélgica</v>
      </c>
      <c r="H6" s="173">
        <f>VLOOKUP($B$6,DB_PARTIDOS!$A$1:$I$65,5)</f>
        <v>2</v>
      </c>
      <c r="I6" s="475" t="str">
        <f>Z19</f>
        <v>Canadá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6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44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Bélgica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Bélgica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408">
        <v>44888</v>
      </c>
      <c r="D8" s="410">
        <v>0.20833333333333334</v>
      </c>
      <c r="E8" s="388" t="s">
        <v>192</v>
      </c>
      <c r="F8" s="175" t="s">
        <v>7</v>
      </c>
      <c r="G8" s="476" t="str">
        <f>Z18</f>
        <v>Marruecos</v>
      </c>
      <c r="H8" s="114">
        <f>VLOOKUP(B8,DB_PARTIDOS!$A$1:$I$65,5)</f>
        <v>0</v>
      </c>
      <c r="I8" s="476" t="str">
        <f>Z17</f>
        <v>Croacia</v>
      </c>
      <c r="J8" s="114">
        <f>VLOOKUP($B$8,DB_PARTIDOS!$A$1:$I$65,7)</f>
        <v>2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38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Croacia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Croacia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408">
        <v>44892</v>
      </c>
      <c r="D10" s="410">
        <v>0.45833333333333331</v>
      </c>
      <c r="E10" s="448" t="s">
        <v>200</v>
      </c>
      <c r="F10" s="175" t="s">
        <v>7</v>
      </c>
      <c r="G10" s="476" t="str">
        <f>Z17</f>
        <v>Croacia</v>
      </c>
      <c r="H10" s="114">
        <f>VLOOKUP(B10,DB_PARTIDOS!$A$1:$I$65,5)</f>
        <v>2</v>
      </c>
      <c r="I10" s="476" t="str">
        <f>Z19</f>
        <v>Canadá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Marruecos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Marruecos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408">
        <v>44892</v>
      </c>
      <c r="D12" s="410">
        <v>0.33333333333333331</v>
      </c>
      <c r="E12" s="388" t="s">
        <v>193</v>
      </c>
      <c r="F12" s="175" t="s">
        <v>7</v>
      </c>
      <c r="G12" s="476" t="str">
        <f>Z16</f>
        <v>Bélgica</v>
      </c>
      <c r="H12" s="114">
        <f>VLOOKUP(B12,DB_PARTIDOS!$A$1:$I$65,5)</f>
        <v>2</v>
      </c>
      <c r="I12" s="476" t="str">
        <f>Z18</f>
        <v>Marruecos</v>
      </c>
      <c r="J12" s="114">
        <f>VLOOKUP($B$12,DB_PARTIDOS!$A$1:$I$65,7)</f>
        <v>0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2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Canadá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Canadá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408">
        <v>44896</v>
      </c>
      <c r="D14" s="410">
        <v>0.41666666666666669</v>
      </c>
      <c r="E14" s="388" t="s">
        <v>193</v>
      </c>
      <c r="F14" s="175" t="s">
        <v>7</v>
      </c>
      <c r="G14" s="476" t="str">
        <f>Z19</f>
        <v>Canadá</v>
      </c>
      <c r="H14" s="114">
        <f>VLOOKUP(B14,DB_PARTIDOS!$A$1:$I$65,5)</f>
        <v>1</v>
      </c>
      <c r="I14" s="476" t="str">
        <f>Z18</f>
        <v>Marruecos</v>
      </c>
      <c r="J14" s="114">
        <f>VLOOKUP($B$14,DB_PARTIDOS!$A$1:$I$65,7)</f>
        <v>0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7" t="s">
        <v>26</v>
      </c>
      <c r="O15" s="605" t="s">
        <v>22</v>
      </c>
      <c r="P15" s="605"/>
      <c r="Q15" s="605"/>
      <c r="R15" s="605"/>
      <c r="S15" s="605" t="s">
        <v>23</v>
      </c>
      <c r="T15" s="605"/>
      <c r="U15" s="605"/>
      <c r="V15" s="134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408">
        <v>44896</v>
      </c>
      <c r="D16" s="410">
        <v>0.41666666666666669</v>
      </c>
      <c r="E16" s="448" t="s">
        <v>195</v>
      </c>
      <c r="F16" s="175" t="s">
        <v>7</v>
      </c>
      <c r="G16" s="476" t="str">
        <f>Z17</f>
        <v>Croacia</v>
      </c>
      <c r="H16" s="114">
        <f>VLOOKUP(B16,DB_PARTIDOS!$A$1:$I$65,5)</f>
        <v>2</v>
      </c>
      <c r="I16" s="476" t="str">
        <f>Z16</f>
        <v>Bélgica</v>
      </c>
      <c r="J16" s="114">
        <f>VLOOKUP($B$16,DB_PARTIDOS!$A$1:$I$65,7)</f>
        <v>2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Bélgica</v>
      </c>
      <c r="P16" s="383"/>
      <c r="Q16" s="383"/>
      <c r="R16" s="383"/>
      <c r="S16" s="418" t="str">
        <f>N7</f>
        <v>Bélgica</v>
      </c>
      <c r="T16" s="418"/>
      <c r="U16" s="418"/>
      <c r="V16" s="218">
        <f>IF(OR(O16=S16,O16=S17),AC28,0)+IF(O16=S16,2,0)</f>
        <v>4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Croacia</v>
      </c>
      <c r="P17" s="384"/>
      <c r="Q17" s="384"/>
      <c r="R17" s="384"/>
      <c r="S17" s="419" t="str">
        <f>N9</f>
        <v>Croacia</v>
      </c>
      <c r="T17" s="419"/>
      <c r="U17" s="419"/>
      <c r="V17" s="219">
        <f>IF(OR(O17=S17,O17=S16),AC28,0)+IF(O17=S17,2,0)</f>
        <v>4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07" t="s">
        <v>85</v>
      </c>
      <c r="K21" s="608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7" t="s">
        <v>26</v>
      </c>
      <c r="E22" s="28"/>
      <c r="F22" s="28"/>
      <c r="G22" s="28"/>
      <c r="H22" s="28"/>
      <c r="I22" s="28"/>
      <c r="J22" s="609"/>
      <c r="K22" s="610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Bélgica</v>
      </c>
      <c r="D23" s="139">
        <v>1</v>
      </c>
      <c r="E23" s="28"/>
      <c r="F23" s="28"/>
      <c r="G23" s="28"/>
      <c r="H23" s="28"/>
      <c r="I23" s="28"/>
      <c r="J23" s="611"/>
      <c r="K23" s="612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13" t="s">
        <v>86</v>
      </c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5"/>
    </row>
    <row r="3" spans="2:46" ht="15.75" customHeight="1" thickBot="1" x14ac:dyDescent="0.3">
      <c r="C3" s="616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8"/>
    </row>
    <row r="4" spans="2:46" x14ac:dyDescent="0.25">
      <c r="C4" s="619" t="s">
        <v>28</v>
      </c>
      <c r="D4" s="620"/>
      <c r="E4" s="620"/>
      <c r="F4" s="620"/>
      <c r="G4" s="620"/>
      <c r="H4" s="620"/>
      <c r="I4" s="620"/>
      <c r="J4" s="621"/>
      <c r="K4" s="622" t="s">
        <v>24</v>
      </c>
      <c r="L4" s="623"/>
      <c r="M4" s="624"/>
      <c r="N4" s="625" t="s">
        <v>21</v>
      </c>
      <c r="O4" s="623"/>
      <c r="P4" s="623"/>
      <c r="Q4" s="623"/>
      <c r="R4" s="623"/>
      <c r="S4" s="623"/>
      <c r="T4" s="623"/>
      <c r="U4" s="623"/>
      <c r="V4" s="626"/>
    </row>
    <row r="5" spans="2:46" ht="15.75" thickBot="1" x14ac:dyDescent="0.3">
      <c r="C5" s="178" t="s">
        <v>0</v>
      </c>
      <c r="D5" s="314" t="s">
        <v>1</v>
      </c>
      <c r="E5" s="314" t="s">
        <v>196</v>
      </c>
      <c r="F5" s="314" t="s">
        <v>2</v>
      </c>
      <c r="G5" s="630" t="s">
        <v>3</v>
      </c>
      <c r="H5" s="630"/>
      <c r="I5" s="630"/>
      <c r="J5" s="631"/>
      <c r="K5" s="318" t="s">
        <v>9</v>
      </c>
      <c r="L5" s="188" t="s">
        <v>10</v>
      </c>
      <c r="M5" s="189" t="s">
        <v>11</v>
      </c>
      <c r="N5" s="627"/>
      <c r="O5" s="628"/>
      <c r="P5" s="628"/>
      <c r="Q5" s="628"/>
      <c r="R5" s="628"/>
      <c r="S5" s="628"/>
      <c r="T5" s="628"/>
      <c r="U5" s="628"/>
      <c r="V5" s="629"/>
    </row>
    <row r="6" spans="2:46" ht="15.75" thickBot="1" x14ac:dyDescent="0.3">
      <c r="B6" s="38" t="str">
        <f>CONCATENATE(MID($C$2,7,1),1)</f>
        <v>G1</v>
      </c>
      <c r="C6" s="407">
        <v>44889</v>
      </c>
      <c r="D6" s="409">
        <v>0.58333333333333337</v>
      </c>
      <c r="E6" s="411" t="s">
        <v>198</v>
      </c>
      <c r="F6" s="174" t="s">
        <v>7</v>
      </c>
      <c r="G6" s="475" t="str">
        <f>Z16</f>
        <v>Brasil</v>
      </c>
      <c r="H6" s="173">
        <f>VLOOKUP($B$6,DB_PARTIDOS!$A$1:$I$65,5)</f>
        <v>3</v>
      </c>
      <c r="I6" s="475" t="str">
        <f>Z19</f>
        <v>Serbia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4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Brasil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Brasil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408">
        <v>44889</v>
      </c>
      <c r="D8" s="410">
        <v>0.20833333333333334</v>
      </c>
      <c r="E8" s="448" t="s">
        <v>199</v>
      </c>
      <c r="F8" s="175" t="s">
        <v>7</v>
      </c>
      <c r="G8" s="476" t="str">
        <f>Z18</f>
        <v>Suiza</v>
      </c>
      <c r="H8" s="114">
        <f>VLOOKUP(B8,DB_PARTIDOS!$A$1:$I$65,5)</f>
        <v>2</v>
      </c>
      <c r="I8" s="476" t="str">
        <f>Z17</f>
        <v>Camerún</v>
      </c>
      <c r="J8" s="114">
        <f>VLOOKUP($B$8,DB_PARTIDOS!$A$1:$I$65,7)</f>
        <v>1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Camerún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Camerún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408">
        <v>44893</v>
      </c>
      <c r="D10" s="410">
        <v>0.20833333333333334</v>
      </c>
      <c r="E10" s="448" t="s">
        <v>199</v>
      </c>
      <c r="F10" s="175" t="s">
        <v>7</v>
      </c>
      <c r="G10" s="476" t="str">
        <f>Z17</f>
        <v>Camerún</v>
      </c>
      <c r="H10" s="114">
        <f>VLOOKUP(B10,DB_PARTIDOS!$A$1:$I$65,5)</f>
        <v>2</v>
      </c>
      <c r="I10" s="476" t="str">
        <f>Z19</f>
        <v>Serbia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Suiza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Suiza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408">
        <v>44893</v>
      </c>
      <c r="D12" s="410">
        <v>0.45833333333333331</v>
      </c>
      <c r="E12" s="388">
        <v>974</v>
      </c>
      <c r="F12" s="175" t="s">
        <v>7</v>
      </c>
      <c r="G12" s="476" t="str">
        <f>Z16</f>
        <v>Brasil</v>
      </c>
      <c r="H12" s="114">
        <f>VLOOKUP(B12,DB_PARTIDOS!$A$1:$I$65,5)</f>
        <v>3</v>
      </c>
      <c r="I12" s="476" t="str">
        <f>Z18</f>
        <v>Suiza</v>
      </c>
      <c r="J12" s="114">
        <f>VLOOKUP($B$12,DB_PARTIDOS!$A$1:$I$65,7)</f>
        <v>1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Serbia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Serbia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408">
        <v>44897</v>
      </c>
      <c r="D14" s="410">
        <v>0.58333333333333337</v>
      </c>
      <c r="E14" s="388">
        <v>974</v>
      </c>
      <c r="F14" s="175" t="s">
        <v>7</v>
      </c>
      <c r="G14" s="476" t="str">
        <f>Z19</f>
        <v>Serbia</v>
      </c>
      <c r="H14" s="114">
        <f>VLOOKUP(B14,DB_PARTIDOS!$A$1:$I$65,5)</f>
        <v>0</v>
      </c>
      <c r="I14" s="476" t="str">
        <f>Z18</f>
        <v>Suiza</v>
      </c>
      <c r="J14" s="114">
        <f>VLOOKUP($B$14,DB_PARTIDOS!$A$1:$I$65,7)</f>
        <v>2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5" t="s">
        <v>26</v>
      </c>
      <c r="O15" s="632" t="s">
        <v>22</v>
      </c>
      <c r="P15" s="632"/>
      <c r="Q15" s="632"/>
      <c r="R15" s="632"/>
      <c r="S15" s="632" t="s">
        <v>23</v>
      </c>
      <c r="T15" s="632"/>
      <c r="U15" s="632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408">
        <v>44897</v>
      </c>
      <c r="D16" s="410">
        <v>0.58333333333333337</v>
      </c>
      <c r="E16" s="448" t="s">
        <v>198</v>
      </c>
      <c r="F16" s="175" t="s">
        <v>7</v>
      </c>
      <c r="G16" s="476" t="str">
        <f>Z17</f>
        <v>Camerún</v>
      </c>
      <c r="H16" s="114">
        <f>VLOOKUP(B16,DB_PARTIDOS!$A$1:$I$65,5)</f>
        <v>0</v>
      </c>
      <c r="I16" s="476" t="str">
        <f>Z16</f>
        <v>Brasil</v>
      </c>
      <c r="J16" s="114">
        <f>VLOOKUP($B$16,DB_PARTIDOS!$A$1:$I$65,7)</f>
        <v>3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Brasil</v>
      </c>
      <c r="P16" s="383"/>
      <c r="Q16" s="383"/>
      <c r="R16" s="383"/>
      <c r="S16" s="418" t="str">
        <f>N7</f>
        <v>Brasil</v>
      </c>
      <c r="T16" s="418"/>
      <c r="U16" s="418"/>
      <c r="V16" s="218">
        <f>IF(OR(O16=S16,O16=S17),AC28,0)+IF(O16=S16,2,0)</f>
        <v>4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Suiza</v>
      </c>
      <c r="P17" s="384"/>
      <c r="Q17" s="384"/>
      <c r="R17" s="384"/>
      <c r="S17" s="419" t="str">
        <f>N9</f>
        <v>Camerún</v>
      </c>
      <c r="T17" s="419"/>
      <c r="U17" s="419"/>
      <c r="V17" s="219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33" t="s">
        <v>87</v>
      </c>
      <c r="K21" s="634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635"/>
      <c r="K22" s="636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Brasil</v>
      </c>
      <c r="D23" s="109">
        <v>1</v>
      </c>
      <c r="E23" s="28"/>
      <c r="F23" s="28"/>
      <c r="G23" s="28"/>
      <c r="H23" s="28"/>
      <c r="I23" s="28"/>
      <c r="J23" s="637"/>
      <c r="K23" s="638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J14" sqref="J14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39" t="s">
        <v>92</v>
      </c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41"/>
    </row>
    <row r="3" spans="2:46" ht="15.75" customHeight="1" thickBot="1" x14ac:dyDescent="0.3">
      <c r="C3" s="642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4"/>
    </row>
    <row r="4" spans="2:46" x14ac:dyDescent="0.25">
      <c r="C4" s="645" t="s">
        <v>28</v>
      </c>
      <c r="D4" s="646"/>
      <c r="E4" s="646"/>
      <c r="F4" s="646"/>
      <c r="G4" s="646"/>
      <c r="H4" s="646"/>
      <c r="I4" s="646"/>
      <c r="J4" s="647"/>
      <c r="K4" s="648" t="s">
        <v>24</v>
      </c>
      <c r="L4" s="649"/>
      <c r="M4" s="650"/>
      <c r="N4" s="651" t="s">
        <v>21</v>
      </c>
      <c r="O4" s="649"/>
      <c r="P4" s="649"/>
      <c r="Q4" s="649"/>
      <c r="R4" s="649"/>
      <c r="S4" s="649"/>
      <c r="T4" s="649"/>
      <c r="U4" s="649"/>
      <c r="V4" s="652"/>
    </row>
    <row r="5" spans="2:46" ht="15.75" thickBot="1" x14ac:dyDescent="0.3">
      <c r="C5" s="177" t="s">
        <v>0</v>
      </c>
      <c r="D5" s="315" t="s">
        <v>1</v>
      </c>
      <c r="E5" s="315" t="s">
        <v>196</v>
      </c>
      <c r="F5" s="315" t="s">
        <v>2</v>
      </c>
      <c r="G5" s="656" t="s">
        <v>3</v>
      </c>
      <c r="H5" s="656"/>
      <c r="I5" s="656"/>
      <c r="J5" s="657"/>
      <c r="K5" s="317" t="s">
        <v>9</v>
      </c>
      <c r="L5" s="186" t="s">
        <v>10</v>
      </c>
      <c r="M5" s="187" t="s">
        <v>11</v>
      </c>
      <c r="N5" s="653"/>
      <c r="O5" s="654"/>
      <c r="P5" s="654"/>
      <c r="Q5" s="654"/>
      <c r="R5" s="654"/>
      <c r="S5" s="654"/>
      <c r="T5" s="654"/>
      <c r="U5" s="654"/>
      <c r="V5" s="655"/>
    </row>
    <row r="6" spans="2:46" ht="15.75" customHeight="1" thickBot="1" x14ac:dyDescent="0.3">
      <c r="B6" s="38" t="str">
        <f>CONCATENATE(MID($C$2,7,1),1)</f>
        <v>H1</v>
      </c>
      <c r="C6" s="407">
        <v>44889</v>
      </c>
      <c r="D6" s="409">
        <v>0.45833333333333331</v>
      </c>
      <c r="E6" s="411">
        <v>974</v>
      </c>
      <c r="F6" s="174" t="s">
        <v>7</v>
      </c>
      <c r="G6" s="475" t="str">
        <f>Z16</f>
        <v>Portugal</v>
      </c>
      <c r="H6" s="173">
        <f>VLOOKUP($B$6,DB_PARTIDOS!$A$1:$I$65,5)</f>
        <v>2</v>
      </c>
      <c r="I6" s="475" t="str">
        <f>Z19</f>
        <v>Ghana</v>
      </c>
      <c r="J6" s="173">
        <f>VLOOKUP($B$6,DB_PARTIDOS!$A$1:$I$65,7)</f>
        <v>0</v>
      </c>
      <c r="K6" s="417">
        <f>IF(OR(H6="",J6="",H7="",J7=""),0,(IF(OR(AND(H6&gt;J6,H7&gt;J7),AND(H6=J6,H7=J7),AND(H6&lt;J6,H7&lt;J7)),AA28,0)))</f>
        <v>0</v>
      </c>
      <c r="L6" s="417">
        <f>IF(OR(H6="",J6="",H7="",J7=""),0,IF(AND(H6=H7,J6=J7),AB28,0))</f>
        <v>0</v>
      </c>
      <c r="M6" s="415">
        <f>K6+L6</f>
        <v>0</v>
      </c>
      <c r="N6" s="202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8"/>
      <c r="D7" s="410"/>
      <c r="E7" s="388"/>
      <c r="F7" s="223" t="s">
        <v>8</v>
      </c>
      <c r="G7" s="476"/>
      <c r="H7" s="228" t="str">
        <f>IF(ISBLANK(VLOOKUP($B$6,DB_PARTIDOS!$A$1:$I$65,8)),"",VLOOKUP($B$6,DB_PARTIDOS!$A$1:$I$65,8))</f>
        <v/>
      </c>
      <c r="I7" s="476"/>
      <c r="J7" s="228" t="str">
        <f>IF(ISBLANK(VLOOKUP($B$6,DB_PARTIDOS!$A$1:$I$65,8)),"",VLOOKUP($B$6,DB_PARTIDOS!$A$1:$I$65,9))</f>
        <v/>
      </c>
      <c r="K7" s="385"/>
      <c r="L7" s="385"/>
      <c r="M7" s="416"/>
      <c r="N7" s="477" t="str">
        <f>Z21</f>
        <v>Portugal</v>
      </c>
      <c r="O7" s="449">
        <f t="shared" ref="O7:U7" si="0">AA21</f>
        <v>0</v>
      </c>
      <c r="P7" s="449">
        <f t="shared" si="0"/>
        <v>0</v>
      </c>
      <c r="Q7" s="449">
        <f t="shared" si="0"/>
        <v>0</v>
      </c>
      <c r="R7" s="449">
        <f t="shared" si="0"/>
        <v>0</v>
      </c>
      <c r="S7" s="449">
        <f t="shared" si="0"/>
        <v>0</v>
      </c>
      <c r="T7" s="449">
        <f t="shared" si="0"/>
        <v>0</v>
      </c>
      <c r="U7" s="604">
        <f t="shared" si="0"/>
        <v>0</v>
      </c>
      <c r="V7" s="480">
        <f>AH21</f>
        <v>0</v>
      </c>
      <c r="Z7" s="430" t="str">
        <f>Z16</f>
        <v>Portugal</v>
      </c>
      <c r="AA7" s="427">
        <f>SUM(IF(AND($H$7&lt;&gt;"",$J$7&lt;&gt;"",$H$7&gt;$J$7),1,0)+IF(AND($H$13&lt;&gt;"",$J$13&lt;&gt;"",$H$13&gt;$J$13),1,0)+IF(AND($H$17&lt;&gt;"",$J$17&lt;&gt;"",$J$17&gt;$H$17),1,0))</f>
        <v>0</v>
      </c>
      <c r="AB7" s="427">
        <f>SUM(IF(AND($H$7&lt;&gt;"",$J$7&lt;&gt;"",$H$7=$J$7),1,0)+IF(AND($H$13&lt;&gt;"",$J$13&lt;&gt;"",$H$13=$J$13),1,0)+IF(AND($H$17&lt;&gt;"",$J$17&lt;&gt;"",$J$17=$H$17),1,0))</f>
        <v>0</v>
      </c>
      <c r="AC7" s="427">
        <f>SUM(IF(AND($H$7&lt;&gt;"",$J$7&lt;&gt;"",$H$7&lt;$J$7),1,0)+IF(AND($H$13&lt;&gt;"",$J$13&lt;&gt;"",$H$13&lt;$J$13),1,0)+IF(AND($H$17&lt;&gt;"",$J$17&lt;&gt;"",$J$17&lt;$H$17),1,0))</f>
        <v>0</v>
      </c>
      <c r="AD7" s="427">
        <f>SUM($H$7,$H$13,$J$17)</f>
        <v>0</v>
      </c>
      <c r="AE7" s="478">
        <f>SUM($J$7,$J$11,$H$15)</f>
        <v>0</v>
      </c>
      <c r="AF7" s="427">
        <f>AD7-AE7</f>
        <v>0</v>
      </c>
      <c r="AG7" s="427">
        <f>(AA7*3+AB7)</f>
        <v>0</v>
      </c>
      <c r="AH7" s="436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408">
        <v>44889</v>
      </c>
      <c r="D8" s="410">
        <v>0.33333333333333331</v>
      </c>
      <c r="E8" s="448" t="s">
        <v>197</v>
      </c>
      <c r="F8" s="175" t="s">
        <v>7</v>
      </c>
      <c r="G8" s="476" t="str">
        <f>Z18</f>
        <v>Uruguay</v>
      </c>
      <c r="H8" s="114">
        <f>VLOOKUP(B8,DB_PARTIDOS!$A$1:$I$65,5)</f>
        <v>1</v>
      </c>
      <c r="I8" s="476" t="str">
        <f>Z17</f>
        <v>Corea del Sur</v>
      </c>
      <c r="J8" s="114">
        <f>VLOOKUP($B$8,DB_PARTIDOS!$A$1:$I$65,7)</f>
        <v>1</v>
      </c>
      <c r="K8" s="385">
        <f>IF(OR(H8="",J8="",H9="",J9=""),0,(IF(OR(AND(H8&gt;J8,H9&gt;J9),AND(H8=J8,H9=J9),AND(H8&lt;J8,H9&lt;J9)),AA28,0)))</f>
        <v>0</v>
      </c>
      <c r="L8" s="385">
        <f>IF(OR(H8="",J8="",H9="",J9=""),0,IF(AND(H8=H9,J8=J9),AB28,0))</f>
        <v>0</v>
      </c>
      <c r="M8" s="416">
        <f>K8+L8</f>
        <v>0</v>
      </c>
      <c r="N8" s="477"/>
      <c r="O8" s="449"/>
      <c r="P8" s="449"/>
      <c r="Q8" s="449"/>
      <c r="R8" s="449"/>
      <c r="S8" s="449"/>
      <c r="T8" s="449"/>
      <c r="U8" s="604"/>
      <c r="V8" s="480"/>
      <c r="Z8" s="431"/>
      <c r="AA8" s="425"/>
      <c r="AB8" s="425"/>
      <c r="AC8" s="425"/>
      <c r="AD8" s="425"/>
      <c r="AE8" s="479"/>
      <c r="AF8" s="425"/>
      <c r="AG8" s="425"/>
      <c r="AH8" s="426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8"/>
      <c r="D9" s="410"/>
      <c r="E9" s="448"/>
      <c r="F9" s="223" t="s">
        <v>8</v>
      </c>
      <c r="G9" s="476"/>
      <c r="H9" s="228" t="str">
        <f>IF(ISBLANK(VLOOKUP($B$6,DB_PARTIDOS!$A$1:$I$65,8)),"",VLOOKUP($B$6,DB_PARTIDOS!$A$1:$I$65,8))</f>
        <v/>
      </c>
      <c r="I9" s="476"/>
      <c r="J9" s="228" t="str">
        <f>IF(ISBLANK(VLOOKUP($B$6,DB_PARTIDOS!$A$1:$I$65,8)),"",VLOOKUP($B$6,DB_PARTIDOS!$A$1:$I$65,9))</f>
        <v/>
      </c>
      <c r="K9" s="385"/>
      <c r="L9" s="385"/>
      <c r="M9" s="416"/>
      <c r="N9" s="477" t="str">
        <f>Z22</f>
        <v>Corea del Sur</v>
      </c>
      <c r="O9" s="449">
        <f t="shared" ref="O9:V9" si="1">AA22</f>
        <v>0</v>
      </c>
      <c r="P9" s="449">
        <f t="shared" si="1"/>
        <v>0</v>
      </c>
      <c r="Q9" s="449">
        <f t="shared" si="1"/>
        <v>0</v>
      </c>
      <c r="R9" s="449">
        <f t="shared" si="1"/>
        <v>0</v>
      </c>
      <c r="S9" s="449">
        <f t="shared" si="1"/>
        <v>0</v>
      </c>
      <c r="T9" s="449">
        <f t="shared" si="1"/>
        <v>0</v>
      </c>
      <c r="U9" s="604">
        <f t="shared" si="1"/>
        <v>0</v>
      </c>
      <c r="V9" s="480">
        <f t="shared" si="1"/>
        <v>0</v>
      </c>
      <c r="Z9" s="431" t="str">
        <f>Z17</f>
        <v>Corea del Sur</v>
      </c>
      <c r="AA9" s="425">
        <f>SUM(IF(AND($H$9&lt;&gt;"",$J$9&lt;&gt;"",$H$9&lt;$J$9),1,0)+IF(AND($H$11&lt;&gt;"",$J$11&lt;&gt;"",$J$11&lt;$H$11),1,0)+IF(AND($H$17&lt;&gt;"",$J$17&lt;&gt;"",$J$17&lt;$H$17),1,0))</f>
        <v>0</v>
      </c>
      <c r="AB9" s="425">
        <f>SUM(IF(AND($H$9&lt;&gt;"",$J$9&lt;&gt;"",$H$9=$J$9),1,0)+IF(AND($H$11&lt;&gt;"",$J$11&lt;&gt;"",$J$11=$H$11),1,0)+IF(AND($H$17&lt;&gt;"",$J$17&lt;&gt;"",$J$17=$H$17),1,0))</f>
        <v>0</v>
      </c>
      <c r="AC9" s="425">
        <f>SUM(IF(AND($H$9&lt;&gt;"",$J$9&lt;&gt;"",$H$9&gt;$J$9),1,0)+IF(AND($H$11&lt;&gt;"",$J$11&lt;&gt;"",$J$11&gt;$H$11),1,0)+IF(AND($H$17&lt;&gt;"",$J$17&lt;&gt;"",$J$17&gt;H$17),1,0))</f>
        <v>0</v>
      </c>
      <c r="AD9" s="425">
        <f>SUM($J$9,$H$11,$H$17)</f>
        <v>0</v>
      </c>
      <c r="AE9" s="434">
        <f>SUM($H$9,$J$11,$J$17)</f>
        <v>0</v>
      </c>
      <c r="AF9" s="425">
        <f>AD9-AE9</f>
        <v>0</v>
      </c>
      <c r="AG9" s="425">
        <f>(AA9*3+AB9)</f>
        <v>0</v>
      </c>
      <c r="AH9" s="426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408">
        <v>44893</v>
      </c>
      <c r="D10" s="410">
        <v>0.33333333333333331</v>
      </c>
      <c r="E10" s="448" t="s">
        <v>197</v>
      </c>
      <c r="F10" s="175" t="s">
        <v>7</v>
      </c>
      <c r="G10" s="476" t="str">
        <f>Z17</f>
        <v>Corea del Sur</v>
      </c>
      <c r="H10" s="114">
        <f>VLOOKUP(B10,DB_PARTIDOS!$A$1:$I$65,5)</f>
        <v>2</v>
      </c>
      <c r="I10" s="476" t="str">
        <f>Z19</f>
        <v>Ghana</v>
      </c>
      <c r="J10" s="114">
        <f>VLOOKUP($B$10,DB_PARTIDOS!$A$1:$I$65,7)</f>
        <v>0</v>
      </c>
      <c r="K10" s="385">
        <f>IF(OR(H10="",J10="",H11="",J11=""),0,(IF(OR(AND(H10&gt;J10,H11&gt;J11),AND(H10=J10,H11=J11),AND(H10&lt;J10,H11&lt;J11)),AA28,0)))</f>
        <v>0</v>
      </c>
      <c r="L10" s="385">
        <f>IF(OR(H10="",J10="",H11="",J11=""),0,IF(AND(H10=H11,J10=J11),AB28,0))</f>
        <v>0</v>
      </c>
      <c r="M10" s="416">
        <f>K10+L10</f>
        <v>0</v>
      </c>
      <c r="N10" s="477"/>
      <c r="O10" s="449"/>
      <c r="P10" s="449"/>
      <c r="Q10" s="449"/>
      <c r="R10" s="449"/>
      <c r="S10" s="449"/>
      <c r="T10" s="449"/>
      <c r="U10" s="604"/>
      <c r="V10" s="480"/>
      <c r="Z10" s="431"/>
      <c r="AA10" s="425"/>
      <c r="AB10" s="425"/>
      <c r="AC10" s="425"/>
      <c r="AD10" s="425"/>
      <c r="AE10" s="479"/>
      <c r="AF10" s="425"/>
      <c r="AG10" s="425"/>
      <c r="AH10" s="426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8"/>
      <c r="D11" s="410"/>
      <c r="E11" s="448"/>
      <c r="F11" s="223" t="s">
        <v>8</v>
      </c>
      <c r="G11" s="476"/>
      <c r="H11" s="228" t="str">
        <f>IF(ISBLANK(VLOOKUP($B$6,DB_PARTIDOS!$A$1:$I$65,8)),"",VLOOKUP($B$6,DB_PARTIDOS!$A$1:$I$65,8))</f>
        <v/>
      </c>
      <c r="I11" s="476"/>
      <c r="J11" s="228" t="str">
        <f>IF(ISBLANK(VLOOKUP($B$6,DB_PARTIDOS!$A$1:$I$65,8)),"",VLOOKUP($B$6,DB_PARTIDOS!$A$1:$I$65,9))</f>
        <v/>
      </c>
      <c r="K11" s="385"/>
      <c r="L11" s="385"/>
      <c r="M11" s="416"/>
      <c r="N11" s="477" t="str">
        <f>Z23</f>
        <v>Uruguay</v>
      </c>
      <c r="O11" s="449">
        <f t="shared" ref="O11:V11" si="2">AA23</f>
        <v>0</v>
      </c>
      <c r="P11" s="449">
        <f t="shared" si="2"/>
        <v>0</v>
      </c>
      <c r="Q11" s="449">
        <f t="shared" si="2"/>
        <v>0</v>
      </c>
      <c r="R11" s="449">
        <f t="shared" si="2"/>
        <v>0</v>
      </c>
      <c r="S11" s="449">
        <f t="shared" si="2"/>
        <v>0</v>
      </c>
      <c r="T11" s="449">
        <f t="shared" si="2"/>
        <v>0</v>
      </c>
      <c r="U11" s="604">
        <f t="shared" si="2"/>
        <v>0</v>
      </c>
      <c r="V11" s="480">
        <f t="shared" si="2"/>
        <v>0</v>
      </c>
      <c r="Z11" s="431" t="str">
        <f>Z18</f>
        <v>Uruguay</v>
      </c>
      <c r="AA11" s="425">
        <f>SUM(IF(AND($H$9&lt;&gt;"",$J$9&lt;&gt;"",$J$9&lt;$H$9),1,0)+IF(AND($H$13&lt;&gt;"",$J$13&lt;&gt;"",$H$13&lt;J$13),1,0)+IF(AND($H$15&lt;&gt;"",$J$15&lt;&gt;"",$H$15&lt;$J$15),1,0))</f>
        <v>0</v>
      </c>
      <c r="AB11" s="425">
        <f>SUM(IF(AND($H$9&lt;&gt;"",$J$9&lt;&gt;"",$J$9=$H$9),1,0)+IF(AND($H$13&lt;&gt;"",$J$13&lt;&gt;"",$H$13=$J$13),1,0)+IF(AND($H$15&lt;&gt;"",$J$15&lt;&gt;"",$H$15=$J$15),1,0))</f>
        <v>0</v>
      </c>
      <c r="AC11" s="425">
        <f>SUM(IF(AND($H$9&lt;&gt;"",$J$9&lt;&gt;"",$J$9&gt;$H$9),1,0)+IF(AND($H$13&lt;&gt;"",$J$13&lt;&gt;"",$H$13&gt;$J$13),1,0)+IF(AND($H$15&lt;&gt;"",$J$15&lt;&gt;"",$H$15&gt;$J$15),1,0))</f>
        <v>0</v>
      </c>
      <c r="AD11" s="425">
        <f>SUM($H$9,$J$13,$J$15)</f>
        <v>0</v>
      </c>
      <c r="AE11" s="434">
        <f>SUM($J$9,$H$13,$H$15)</f>
        <v>0</v>
      </c>
      <c r="AF11" s="425">
        <f>AD11-AE11</f>
        <v>0</v>
      </c>
      <c r="AG11" s="425">
        <f>(AA11*3+AB11)</f>
        <v>0</v>
      </c>
      <c r="AH11" s="426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408">
        <v>44893</v>
      </c>
      <c r="D12" s="410">
        <v>0.58333333333333337</v>
      </c>
      <c r="E12" s="388" t="s">
        <v>198</v>
      </c>
      <c r="F12" s="175" t="s">
        <v>7</v>
      </c>
      <c r="G12" s="476" t="str">
        <f>Z16</f>
        <v>Portugal</v>
      </c>
      <c r="H12" s="114">
        <f>VLOOKUP(B12,DB_PARTIDOS!$A$1:$I$65,5)</f>
        <v>2</v>
      </c>
      <c r="I12" s="476" t="str">
        <f>Z18</f>
        <v>Uruguay</v>
      </c>
      <c r="J12" s="114">
        <f>VLOOKUP($B$12,DB_PARTIDOS!$A$1:$I$65,7)</f>
        <v>1</v>
      </c>
      <c r="K12" s="385">
        <f>IF(OR(H12="",J12="",H13="",J13=""),0,(IF(OR(AND(H12&gt;J12,H13&gt;J13),AND(H12=J12,H13=J13),AND(H12&lt;J12,H13&lt;J13)),AA28,0)))</f>
        <v>0</v>
      </c>
      <c r="L12" s="385">
        <f>IF(OR(H12="",J12="",H13="",J13=""),0,IF(AND(H12=H13,J12=J13),AB28,0))</f>
        <v>0</v>
      </c>
      <c r="M12" s="416">
        <f>K12+L12</f>
        <v>0</v>
      </c>
      <c r="N12" s="477"/>
      <c r="O12" s="449"/>
      <c r="P12" s="449"/>
      <c r="Q12" s="449"/>
      <c r="R12" s="449"/>
      <c r="S12" s="449"/>
      <c r="T12" s="449"/>
      <c r="U12" s="604"/>
      <c r="V12" s="480"/>
      <c r="Z12" s="431"/>
      <c r="AA12" s="425"/>
      <c r="AB12" s="425"/>
      <c r="AC12" s="425"/>
      <c r="AD12" s="425"/>
      <c r="AE12" s="479"/>
      <c r="AF12" s="425"/>
      <c r="AG12" s="425"/>
      <c r="AH12" s="426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8"/>
      <c r="D13" s="410"/>
      <c r="E13" s="388"/>
      <c r="F13" s="223" t="s">
        <v>8</v>
      </c>
      <c r="G13" s="476"/>
      <c r="H13" s="228" t="str">
        <f>IF(ISBLANK(VLOOKUP($B$6,DB_PARTIDOS!$A$1:$I$65,8)),"",VLOOKUP($B$6,DB_PARTIDOS!$A$1:$I$65,8))</f>
        <v/>
      </c>
      <c r="I13" s="476"/>
      <c r="J13" s="228" t="str">
        <f>IF(ISBLANK(VLOOKUP($B$6,DB_PARTIDOS!$A$1:$I$65,8)),"",VLOOKUP($B$6,DB_PARTIDOS!$A$1:$I$65,9))</f>
        <v/>
      </c>
      <c r="K13" s="385"/>
      <c r="L13" s="385"/>
      <c r="M13" s="416"/>
      <c r="N13" s="477" t="str">
        <f>Z24</f>
        <v>Ghana</v>
      </c>
      <c r="O13" s="449">
        <f t="shared" ref="O13:V13" si="3">AA24</f>
        <v>0</v>
      </c>
      <c r="P13" s="449">
        <f t="shared" si="3"/>
        <v>0</v>
      </c>
      <c r="Q13" s="449">
        <f t="shared" si="3"/>
        <v>0</v>
      </c>
      <c r="R13" s="449">
        <f t="shared" si="3"/>
        <v>0</v>
      </c>
      <c r="S13" s="449">
        <f t="shared" si="3"/>
        <v>0</v>
      </c>
      <c r="T13" s="449">
        <f t="shared" si="3"/>
        <v>0</v>
      </c>
      <c r="U13" s="604">
        <f t="shared" si="3"/>
        <v>0</v>
      </c>
      <c r="V13" s="480">
        <f t="shared" si="3"/>
        <v>0</v>
      </c>
      <c r="Z13" s="431" t="str">
        <f>Z19</f>
        <v>Ghana</v>
      </c>
      <c r="AA13" s="425">
        <f>SUM(IF(AND($H$7&lt;&gt;"",$J$7&lt;&gt;"",$J$7&gt;$H$7),1,0)+IF(AND($H$11&lt;&gt;"",$J$11&lt;&gt;"",$J$11&gt;$H$11),1,0)+IF(AND($H$15&lt;&gt;"",$J$15&lt;&gt;"",$H$15&gt;$J$15),1,0))</f>
        <v>0</v>
      </c>
      <c r="AB13" s="425">
        <f>SUM(IF(AND($H$7&lt;&gt;"",$J$7&lt;&gt;"",$J$7=$H$7),1,0)+IF(AND($H$11&lt;&gt;"",$J$11&lt;&gt;"",$J$11=$H$11),1,0)+IF(AND($H$15&lt;&gt;"",$J$15&lt;&gt;"",$H$15=$J$15),1,0))</f>
        <v>0</v>
      </c>
      <c r="AC13" s="425">
        <f>SUM(IF(AND($H$7&lt;&gt;"",$J$7&lt;&gt;"",$J$7&lt;$H$7),1,0)+IF(AND($H$11&lt;&gt;"",$J$11&lt;&gt;"",$J$11&lt;$H$11),1,0)+IF(AND($H$15&lt;&gt;"",$J$15&lt;&gt;"",$H$15&lt;$J$15),1,0))</f>
        <v>0</v>
      </c>
      <c r="AD13" s="425">
        <f>SUM($J$7,$J$11,$H$15)</f>
        <v>0</v>
      </c>
      <c r="AE13" s="434">
        <f>SUM($H$7,$H$11,$J$15)</f>
        <v>0</v>
      </c>
      <c r="AF13" s="425">
        <f>AD13-AE13</f>
        <v>0</v>
      </c>
      <c r="AG13" s="425">
        <f>(AA13*3+AB13)</f>
        <v>0</v>
      </c>
      <c r="AH13" s="426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408">
        <v>44897</v>
      </c>
      <c r="D14" s="410">
        <v>0.41666666666666669</v>
      </c>
      <c r="E14" s="388" t="s">
        <v>199</v>
      </c>
      <c r="F14" s="175" t="s">
        <v>7</v>
      </c>
      <c r="G14" s="476" t="str">
        <f>Z19</f>
        <v>Ghana</v>
      </c>
      <c r="H14" s="114">
        <f>VLOOKUP(B14,DB_PARTIDOS!$A$1:$I$65,5)</f>
        <v>0</v>
      </c>
      <c r="I14" s="476" t="str">
        <f>Z18</f>
        <v>Uruguay</v>
      </c>
      <c r="J14" s="114">
        <f>VLOOKUP($B$14,DB_PARTIDOS!$A$1:$I$65,7)</f>
        <v>2</v>
      </c>
      <c r="K14" s="385">
        <f>IF(OR(H14="",J14="",H15="",J15=""),0,(IF(OR(AND(H14&gt;J14,H15&gt;J15),AND(H14=J14,H15=J15),AND(H14&lt;J14,H15&lt;J15)),AA28,0)))</f>
        <v>0</v>
      </c>
      <c r="L14" s="385">
        <f>IF(OR(H14="",J14="",H15="",J15=""),0,IF(AND(H14=H15,J14=J15),AB28,0))</f>
        <v>0</v>
      </c>
      <c r="M14" s="416">
        <f>K14+L14</f>
        <v>0</v>
      </c>
      <c r="N14" s="485"/>
      <c r="O14" s="481"/>
      <c r="P14" s="481"/>
      <c r="Q14" s="481"/>
      <c r="R14" s="481"/>
      <c r="S14" s="481"/>
      <c r="T14" s="481"/>
      <c r="U14" s="606"/>
      <c r="V14" s="484"/>
      <c r="Z14" s="432"/>
      <c r="AA14" s="434"/>
      <c r="AB14" s="434"/>
      <c r="AC14" s="434"/>
      <c r="AD14" s="434"/>
      <c r="AE14" s="483"/>
      <c r="AF14" s="434"/>
      <c r="AG14" s="434"/>
      <c r="AH14" s="435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8"/>
      <c r="D15" s="410"/>
      <c r="E15" s="388"/>
      <c r="F15" s="223" t="s">
        <v>8</v>
      </c>
      <c r="G15" s="476"/>
      <c r="H15" s="228" t="str">
        <f>IF(ISBLANK(VLOOKUP($B$6,DB_PARTIDOS!$A$1:$I$65,8)),"",VLOOKUP($B$6,DB_PARTIDOS!$A$1:$I$65,8))</f>
        <v/>
      </c>
      <c r="I15" s="476"/>
      <c r="J15" s="228" t="str">
        <f>IF(ISBLANK(VLOOKUP($B$6,DB_PARTIDOS!$A$1:$I$65,8)),"",VLOOKUP($B$6,DB_PARTIDOS!$A$1:$I$65,9))</f>
        <v/>
      </c>
      <c r="K15" s="385"/>
      <c r="L15" s="385"/>
      <c r="M15" s="416"/>
      <c r="N15" s="203" t="s">
        <v>26</v>
      </c>
      <c r="O15" s="658" t="s">
        <v>22</v>
      </c>
      <c r="P15" s="658"/>
      <c r="Q15" s="658"/>
      <c r="R15" s="658"/>
      <c r="S15" s="658" t="s">
        <v>23</v>
      </c>
      <c r="T15" s="658"/>
      <c r="U15" s="658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408">
        <v>44897</v>
      </c>
      <c r="D16" s="410">
        <v>0.41666666666666669</v>
      </c>
      <c r="E16" s="448" t="s">
        <v>197</v>
      </c>
      <c r="F16" s="175" t="s">
        <v>7</v>
      </c>
      <c r="G16" s="476" t="str">
        <f>Z17</f>
        <v>Corea del Sur</v>
      </c>
      <c r="H16" s="114">
        <f>VLOOKUP(B16,DB_PARTIDOS!$A$1:$I$65,5)</f>
        <v>1</v>
      </c>
      <c r="I16" s="476" t="str">
        <f>Z16</f>
        <v>Portugal</v>
      </c>
      <c r="J16" s="114">
        <f>VLOOKUP($B$16,DB_PARTIDOS!$A$1:$I$65,7)</f>
        <v>2</v>
      </c>
      <c r="K16" s="385">
        <f>IF(OR(H16="",J16="",H17="",J17=""),0,(IF(OR(AND(H16&gt;J16,H17&gt;J17),AND(H16=J16,H17=J17),AND(H16&lt;J16,H17&lt;J17)),AA28,0)))</f>
        <v>0</v>
      </c>
      <c r="L16" s="385">
        <f>IF(OR(H16="",J16="",H17="",J17=""),0,IF(AND(H16=H17,J16=J17),AB28,0))</f>
        <v>0</v>
      </c>
      <c r="M16" s="416">
        <f>K16+L16</f>
        <v>0</v>
      </c>
      <c r="N16" s="216">
        <v>1</v>
      </c>
      <c r="O16" s="383" t="str">
        <f>VLOOKUP(X16,DB_PARTIDOS!$L$1:$M$17,2)</f>
        <v>Portugal</v>
      </c>
      <c r="P16" s="383"/>
      <c r="Q16" s="383"/>
      <c r="R16" s="383"/>
      <c r="S16" s="418" t="str">
        <f>N7</f>
        <v>Portugal</v>
      </c>
      <c r="T16" s="418"/>
      <c r="U16" s="418"/>
      <c r="V16" s="218">
        <f>IF(OR(O16=S16,O16=S17),AC28,0)+IF(O16=S16,2,0)</f>
        <v>4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5"/>
      <c r="D17" s="446"/>
      <c r="E17" s="493"/>
      <c r="F17" s="224" t="s">
        <v>8</v>
      </c>
      <c r="G17" s="494"/>
      <c r="H17" s="227" t="str">
        <f>IF(ISBLANK(VLOOKUP($B$6,DB_PARTIDOS!$A$1:$I$65,8)),"",VLOOKUP($B$6,DB_PARTIDOS!$A$1:$I$65,8))</f>
        <v/>
      </c>
      <c r="I17" s="494"/>
      <c r="J17" s="227" t="str">
        <f>IF(ISBLANK(VLOOKUP($B$6,DB_PARTIDOS!$A$1:$I$65,8)),"",VLOOKUP($B$6,DB_PARTIDOS!$A$1:$I$65,9))</f>
        <v/>
      </c>
      <c r="K17" s="386"/>
      <c r="L17" s="386"/>
      <c r="M17" s="421"/>
      <c r="N17" s="217">
        <v>2</v>
      </c>
      <c r="O17" s="384" t="str">
        <f>VLOOKUP(X17,DB_PARTIDOS!$L$1:$M$17,2)</f>
        <v>Corea del Sur</v>
      </c>
      <c r="P17" s="384"/>
      <c r="Q17" s="384"/>
      <c r="R17" s="384"/>
      <c r="S17" s="419" t="str">
        <f>N9</f>
        <v>Corea del Sur</v>
      </c>
      <c r="T17" s="419"/>
      <c r="U17" s="419"/>
      <c r="V17" s="219">
        <f>IF(OR(O17=S17,O17=S16),AC28,0)+IF(O17=S17,2,0)</f>
        <v>4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39" t="s">
        <v>182</v>
      </c>
      <c r="D19" s="4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1"/>
      <c r="D20" s="44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3"/>
      <c r="D21" s="444"/>
      <c r="E21" s="28"/>
      <c r="F21" s="28"/>
      <c r="G21" s="28"/>
      <c r="H21" s="28"/>
      <c r="I21" s="28"/>
      <c r="J21" s="659" t="s">
        <v>93</v>
      </c>
      <c r="K21" s="660"/>
      <c r="L21" s="380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661"/>
      <c r="K22" s="662"/>
      <c r="L22" s="381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Portugal</v>
      </c>
      <c r="D23" s="109">
        <v>1</v>
      </c>
      <c r="E23" s="28"/>
      <c r="F23" s="28"/>
      <c r="G23" s="28"/>
      <c r="H23" s="28"/>
      <c r="I23" s="28"/>
      <c r="J23" s="663"/>
      <c r="K23" s="664"/>
      <c r="L23" s="382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8" t="s">
        <v>65</v>
      </c>
      <c r="AB26" s="420"/>
      <c r="AC26" s="429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2022-11-09T00:13:54Z</dcterms:modified>
</cp:coreProperties>
</file>