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"/>
    </mc:Choice>
  </mc:AlternateContent>
  <bookViews>
    <workbookView xWindow="0" yWindow="0" windowWidth="20490" windowHeight="7755" tabRatio="1000" activeTab="1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state="hidden" r:id="rId13"/>
  </sheets>
  <externalReferences>
    <externalReference r:id="rId14"/>
    <externalReference r:id="rId15"/>
  </externalReferences>
  <definedNames>
    <definedName name="Auxi1" localSheetId="12">'[1]Grupo A'!$AH$16:$AH$19</definedName>
    <definedName name="Auxi1" localSheetId="2">'Grupo B'!$AI$16:$AI$19</definedName>
    <definedName name="Auxi1" localSheetId="3">'Grupo C'!$AI$16:$AI$19</definedName>
    <definedName name="Auxi1" localSheetId="4">'Grupo D'!$AI$16:$AI$19</definedName>
    <definedName name="Auxi1" localSheetId="5">'Grupo E'!$AI$16:$AI$19</definedName>
    <definedName name="Auxi1" localSheetId="6">'Grupo F'!$AI$16:$AI$19</definedName>
    <definedName name="Auxi1" localSheetId="7">'Grupo G'!$AI$16:$AI$19</definedName>
    <definedName name="Auxi1" localSheetId="8">'Grupo H'!$AI$16:$AI$19</definedName>
    <definedName name="Auxi1">'Grupo A'!$AI$16:$AI$19</definedName>
    <definedName name="Auxi2" localSheetId="2">'Grupo B'!$AN$16:$AN$19</definedName>
    <definedName name="Auxi2" localSheetId="3">'Grupo C'!$AN$16:$AN$19</definedName>
    <definedName name="Auxi2" localSheetId="4">'Grupo D'!$AN$16:$AN$19</definedName>
    <definedName name="Auxi2" localSheetId="5">'Grupo E'!$AN$16:$AN$19</definedName>
    <definedName name="Auxi2" localSheetId="6">'Grupo F'!$AN$16:$AN$19</definedName>
    <definedName name="Auxi2" localSheetId="7">'Grupo G'!$AN$16:$AN$19</definedName>
    <definedName name="Auxi2" localSheetId="8">'Grupo H'!$AN$16:$AN$19</definedName>
    <definedName name="Auxi2">'Grupo A'!$AN$16:$AN$19</definedName>
    <definedName name="Auxi3" localSheetId="12">'[1]Grupo A'!$AQ$16:$AQ$19</definedName>
    <definedName name="Auxi3" localSheetId="2">'Grupo B'!$AR$16:$AR$19</definedName>
    <definedName name="Auxi3" localSheetId="3">'Grupo C'!$AR$16:$AR$19</definedName>
    <definedName name="Auxi3" localSheetId="4">'Grupo D'!$AR$16:$AR$19</definedName>
    <definedName name="Auxi3" localSheetId="5">'Grupo E'!$AR$16:$AR$19</definedName>
    <definedName name="Auxi3" localSheetId="6">'Grupo F'!$AR$16:$AR$19</definedName>
    <definedName name="Auxi3" localSheetId="7">'Grupo G'!$AR$16:$AR$19</definedName>
    <definedName name="Auxi3" localSheetId="8">'Grupo H'!$AR$16:$AR$19</definedName>
    <definedName name="Auxi3">'Grupo A'!$AR$16:$AR$19</definedName>
    <definedName name="DG" localSheetId="12">'[1]Grupo A'!$AE$16:$AE$19</definedName>
    <definedName name="DG" localSheetId="2">'Grupo B'!$AF$16:$AF$19</definedName>
    <definedName name="DG" localSheetId="3">'Grupo C'!$AF$16:$AF$19</definedName>
    <definedName name="DG" localSheetId="4">'Grupo D'!$AF$16:$AF$19</definedName>
    <definedName name="DG" localSheetId="5">'Grupo E'!$AF$16:$AF$19</definedName>
    <definedName name="DG" localSheetId="6">'Grupo F'!$AF$16:$AF$19</definedName>
    <definedName name="DG" localSheetId="7">'Grupo G'!$AF$16:$AF$19</definedName>
    <definedName name="DG" localSheetId="8">'Grupo H'!$AF$16:$AF$19</definedName>
    <definedName name="DG">'Grupo A'!$AF$16:$AF$19</definedName>
    <definedName name="Empatados" localSheetId="12">'[1]Grupo A'!$AA$16:$AA$19</definedName>
    <definedName name="Empatados" localSheetId="2">'Grupo B'!$AB$16:$AB$19</definedName>
    <definedName name="Empatados" localSheetId="3">'Grupo C'!$AB$16:$AB$19</definedName>
    <definedName name="Empatados" localSheetId="4">'Grupo D'!$AB$16:$AB$19</definedName>
    <definedName name="Empatados" localSheetId="5">'Grupo E'!$AB$16:$AB$19</definedName>
    <definedName name="Empatados" localSheetId="6">'Grupo F'!$AB$16:$AB$19</definedName>
    <definedName name="Empatados" localSheetId="7">'Grupo G'!$AB$16:$AB$19</definedName>
    <definedName name="Empatados" localSheetId="8">'Grupo H'!$AB$16:$AB$19</definedName>
    <definedName name="Empatados">'Grupo A'!$AB$16:$AB$19</definedName>
    <definedName name="Equipos" localSheetId="12">'[1]Grupo A'!$Y$16:$Y$19</definedName>
    <definedName name="Equipos" localSheetId="2">'Grupo B'!$Z$16:$Z$19</definedName>
    <definedName name="Equipos" localSheetId="3">'Grupo C'!$Z$16:$Z$19</definedName>
    <definedName name="Equipos" localSheetId="4">'Grupo D'!$Z$16:$Z$19</definedName>
    <definedName name="Equipos" localSheetId="5">'Grupo E'!$Z$16:$Z$19</definedName>
    <definedName name="Equipos" localSheetId="6">'Grupo F'!$Z$16:$Z$19</definedName>
    <definedName name="Equipos" localSheetId="7">'Grupo G'!$Z$16:$Z$19</definedName>
    <definedName name="Equipos" localSheetId="8">'Grupo H'!$Z$16:$Z$19</definedName>
    <definedName name="Equipos">'Grupo A'!$Z$16:$Z$19</definedName>
    <definedName name="Ganados" localSheetId="12">'[1]Grupo A'!$Z$16:$Z$19</definedName>
    <definedName name="Ganados" localSheetId="2">'Grupo B'!$AA$16:$AA$19</definedName>
    <definedName name="Ganados" localSheetId="3">'Grupo C'!$AA$16:$AA$19</definedName>
    <definedName name="Ganados" localSheetId="4">'Grupo D'!$AA$16:$AA$19</definedName>
    <definedName name="Ganados" localSheetId="5">'Grupo E'!$AA$16:$AA$19</definedName>
    <definedName name="Ganados" localSheetId="6">'Grupo F'!$AA$16:$AA$19</definedName>
    <definedName name="Ganados" localSheetId="7">'Grupo G'!$AA$16:$AA$19</definedName>
    <definedName name="Ganados" localSheetId="8">'Grupo H'!$AA$16:$AA$19</definedName>
    <definedName name="Ganados">'Grupo A'!$AA$16:$AA$19</definedName>
    <definedName name="GC" localSheetId="12">'[1]Grupo A'!$AD$16:$AD$19</definedName>
    <definedName name="GC" localSheetId="2">'Grupo B'!$AE$16:$AE$19</definedName>
    <definedName name="GC" localSheetId="3">'Grupo C'!$AE$16:$AE$19</definedName>
    <definedName name="GC" localSheetId="4">'Grupo D'!$AE$16:$AE$19</definedName>
    <definedName name="GC" localSheetId="5">'Grupo E'!$AE$16:$AE$19</definedName>
    <definedName name="GC" localSheetId="6">'Grupo F'!$AE$16:$AE$19</definedName>
    <definedName name="GC" localSheetId="7">'Grupo G'!$AE$16:$AE$19</definedName>
    <definedName name="GC" localSheetId="8">'Grupo H'!$AE$16:$AE$19</definedName>
    <definedName name="GC">'Grupo A'!$AE$16:$AE$19</definedName>
    <definedName name="GF" localSheetId="12">'[1]Grupo A'!$AC$16:$AC$19</definedName>
    <definedName name="GF" localSheetId="2">'Grupo B'!$AD$16:$AD$19</definedName>
    <definedName name="GF" localSheetId="3">'Grupo C'!$AD$16:$AD$19</definedName>
    <definedName name="GF" localSheetId="4">'Grupo D'!$AD$16:$AD$19</definedName>
    <definedName name="GF" localSheetId="5">'Grupo E'!$AD$16:$AD$19</definedName>
    <definedName name="GF" localSheetId="6">'Grupo F'!$AD$16:$AD$19</definedName>
    <definedName name="GF" localSheetId="7">'Grupo G'!$AD$16:$AD$19</definedName>
    <definedName name="GF" localSheetId="8">'Grupo H'!$AD$16:$AD$19</definedName>
    <definedName name="GF">'Grupo A'!$AD$16:$AD$19</definedName>
    <definedName name="Jera" localSheetId="2">'Grupo B'!$AJ$16:$AJ$19</definedName>
    <definedName name="Jera" localSheetId="3">'Grupo C'!$AJ$16:$AJ$19</definedName>
    <definedName name="Jera" localSheetId="4">'Grupo D'!$AJ$16:$AJ$19</definedName>
    <definedName name="Jera" localSheetId="5">'Grupo E'!$AJ$16:$AJ$19</definedName>
    <definedName name="Jera" localSheetId="6">'Grupo F'!$AJ$16:$AJ$19</definedName>
    <definedName name="Jera" localSheetId="7">'Grupo G'!$AJ$16:$AJ$19</definedName>
    <definedName name="Jera" localSheetId="8">'Grupo H'!$AJ$16:$AJ$19</definedName>
    <definedName name="Jera">'Grupo A'!$AJ$16:$AJ$19</definedName>
    <definedName name="Jera2" localSheetId="12">'[1]Grupo A'!$AR$16:$AR$19</definedName>
    <definedName name="Jera2" localSheetId="2">'Grupo B'!$AS$16:$AS$19</definedName>
    <definedName name="Jera2" localSheetId="3">'Grupo C'!$AS$16:$AS$19</definedName>
    <definedName name="Jera2" localSheetId="4">'Grupo D'!$AS$16:$AS$19</definedName>
    <definedName name="Jera2" localSheetId="5">'Grupo E'!$AS$16:$AS$19</definedName>
    <definedName name="Jera2" localSheetId="6">'Grupo F'!$AS$16:$AS$19</definedName>
    <definedName name="Jera2" localSheetId="7">'Grupo G'!$AS$16:$AS$19</definedName>
    <definedName name="Jera2" localSheetId="8">'Grupo H'!$AS$16:$AS$19</definedName>
    <definedName name="Jera2">'Grupo A'!$AS$16:$AS$19</definedName>
    <definedName name="Perdidos" localSheetId="12">'[1]Grupo A'!$AB$16:$AB$19</definedName>
    <definedName name="Perdidos" localSheetId="2">'Grupo B'!$AC$16:$AC$19</definedName>
    <definedName name="Perdidos" localSheetId="3">'Grupo C'!$AC$16:$AC$19</definedName>
    <definedName name="Perdidos" localSheetId="4">'Grupo D'!$AC$16:$AC$19</definedName>
    <definedName name="Perdidos" localSheetId="5">'Grupo E'!$AC$16:$AC$19</definedName>
    <definedName name="Perdidos" localSheetId="6">'Grupo F'!$AC$16:$AC$19</definedName>
    <definedName name="Perdidos" localSheetId="7">'Grupo G'!$AC$16:$AC$19</definedName>
    <definedName name="Perdidos" localSheetId="8">'Grupo H'!$AC$16:$AC$19</definedName>
    <definedName name="Perdidos">'Grupo A'!$AC$16:$AC$19</definedName>
    <definedName name="PJ" localSheetId="12">'[1]Grupo A'!$AG$16:$AG$19</definedName>
    <definedName name="PJ" localSheetId="2">'Grupo B'!$AH$16:$AH$19</definedName>
    <definedName name="PJ" localSheetId="3">'Grupo C'!$AH$16:$AH$19</definedName>
    <definedName name="PJ" localSheetId="4">'Grupo D'!$AH$16:$AH$19</definedName>
    <definedName name="PJ" localSheetId="5">'Grupo E'!$AH$16:$AH$19</definedName>
    <definedName name="PJ" localSheetId="6">'Grupo F'!$AH$16:$AH$19</definedName>
    <definedName name="PJ" localSheetId="7">'Grupo G'!$AH$16:$AH$19</definedName>
    <definedName name="PJ" localSheetId="8">'Grupo H'!$AH$16:$AH$19</definedName>
    <definedName name="PJ">'Grupo A'!$AH$16:$AH$19</definedName>
    <definedName name="PTS" localSheetId="12">'[1]Grupo A'!$AF$16:$AF$19</definedName>
    <definedName name="PTS" localSheetId="2">'Grupo B'!$AG$16:$AG$19</definedName>
    <definedName name="PTS" localSheetId="3">'Grupo C'!$AG$16:$AG$19</definedName>
    <definedName name="PTS" localSheetId="4">'Grupo D'!$AG$16:$AG$19</definedName>
    <definedName name="PTS" localSheetId="5">'Grupo E'!$AG$16:$AG$19</definedName>
    <definedName name="PTS" localSheetId="6">'Grupo F'!$AG$16:$AG$19</definedName>
    <definedName name="PTS" localSheetId="7">'Grupo G'!$AG$16:$AG$19</definedName>
    <definedName name="PTS" localSheetId="8">'Grupo H'!$AG$16:$AG$19</definedName>
    <definedName name="PTS">'Grupo A'!$AG$16:$AG$19</definedName>
  </definedNames>
  <calcPr calcId="152511"/>
</workbook>
</file>

<file path=xl/calcChain.xml><?xml version="1.0" encoding="utf-8"?>
<calcChain xmlns="http://schemas.openxmlformats.org/spreadsheetml/2006/main">
  <c r="D9" i="19" l="1"/>
  <c r="D8" i="19"/>
  <c r="Z13" i="13" l="1"/>
  <c r="O17" i="12" l="1"/>
  <c r="O17" i="13"/>
  <c r="O17" i="14"/>
  <c r="O17" i="15"/>
  <c r="O17" i="16"/>
  <c r="O17" i="17"/>
  <c r="O17" i="18"/>
  <c r="O17" i="1"/>
  <c r="O16" i="12"/>
  <c r="O16" i="13"/>
  <c r="O16" i="14"/>
  <c r="O16" i="15"/>
  <c r="O16" i="16"/>
  <c r="O16" i="17"/>
  <c r="O16" i="18"/>
  <c r="O16" i="1"/>
  <c r="X17" i="12"/>
  <c r="X17" i="13"/>
  <c r="X17" i="14"/>
  <c r="X17" i="15"/>
  <c r="X17" i="16"/>
  <c r="X17" i="17"/>
  <c r="X17" i="18"/>
  <c r="X17" i="1"/>
  <c r="X16" i="12"/>
  <c r="X16" i="13"/>
  <c r="X16" i="14"/>
  <c r="X16" i="15"/>
  <c r="X16" i="16"/>
  <c r="X16" i="17"/>
  <c r="X16" i="18"/>
  <c r="X16" i="1"/>
  <c r="H3" i="20" l="1"/>
  <c r="I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I2" i="20"/>
  <c r="H2" i="20"/>
  <c r="J16" i="12"/>
  <c r="J16" i="13"/>
  <c r="J16" i="14"/>
  <c r="J16" i="15"/>
  <c r="J16" i="16"/>
  <c r="J16" i="17"/>
  <c r="J16" i="18"/>
  <c r="J16" i="1"/>
  <c r="J14" i="12"/>
  <c r="J14" i="13"/>
  <c r="J14" i="14"/>
  <c r="J14" i="15"/>
  <c r="J14" i="16"/>
  <c r="J14" i="17"/>
  <c r="J14" i="18"/>
  <c r="J14" i="1"/>
  <c r="J12" i="12"/>
  <c r="J12" i="13"/>
  <c r="J12" i="14"/>
  <c r="J12" i="15"/>
  <c r="J12" i="16"/>
  <c r="J12" i="17"/>
  <c r="J12" i="18"/>
  <c r="J12" i="1"/>
  <c r="J10" i="12"/>
  <c r="J10" i="13"/>
  <c r="J10" i="14"/>
  <c r="J10" i="15"/>
  <c r="J10" i="16"/>
  <c r="J10" i="17"/>
  <c r="J10" i="18"/>
  <c r="J10" i="1"/>
  <c r="J8" i="12"/>
  <c r="J8" i="13"/>
  <c r="J8" i="14"/>
  <c r="J8" i="15"/>
  <c r="J8" i="16"/>
  <c r="J8" i="17"/>
  <c r="J8" i="18"/>
  <c r="J8" i="1"/>
  <c r="J6" i="12"/>
  <c r="J6" i="13"/>
  <c r="J6" i="14"/>
  <c r="J6" i="15"/>
  <c r="J6" i="16"/>
  <c r="J6" i="17"/>
  <c r="J6" i="18"/>
  <c r="J6" i="1"/>
  <c r="H16" i="12"/>
  <c r="H16" i="13"/>
  <c r="H16" i="14"/>
  <c r="H16" i="15"/>
  <c r="H16" i="16"/>
  <c r="H16" i="17"/>
  <c r="H16" i="18"/>
  <c r="H16" i="1"/>
  <c r="H14" i="12"/>
  <c r="H14" i="13"/>
  <c r="H14" i="14"/>
  <c r="H14" i="15"/>
  <c r="H14" i="16"/>
  <c r="H14" i="17"/>
  <c r="H14" i="18"/>
  <c r="H14" i="1"/>
  <c r="H12" i="12"/>
  <c r="H12" i="13"/>
  <c r="H12" i="14"/>
  <c r="H12" i="15"/>
  <c r="H12" i="16"/>
  <c r="H12" i="17"/>
  <c r="H12" i="18"/>
  <c r="H12" i="1"/>
  <c r="H10" i="12"/>
  <c r="H10" i="13"/>
  <c r="H10" i="14"/>
  <c r="H10" i="15"/>
  <c r="H10" i="16"/>
  <c r="H10" i="17"/>
  <c r="H10" i="18"/>
  <c r="H10" i="1"/>
  <c r="H8" i="12"/>
  <c r="H8" i="13"/>
  <c r="H8" i="14"/>
  <c r="H8" i="15"/>
  <c r="H8" i="16"/>
  <c r="H8" i="17"/>
  <c r="H8" i="18"/>
  <c r="H8" i="1"/>
  <c r="H6" i="12"/>
  <c r="H6" i="13"/>
  <c r="H6" i="14"/>
  <c r="H6" i="15"/>
  <c r="H6" i="16"/>
  <c r="H6" i="17"/>
  <c r="H6" i="18"/>
  <c r="H6" i="1"/>
  <c r="I6" i="18"/>
  <c r="I6" i="17"/>
  <c r="I6" i="16"/>
  <c r="I6" i="15"/>
  <c r="I6" i="14"/>
  <c r="I6" i="13"/>
  <c r="I6" i="12"/>
  <c r="I8" i="18"/>
  <c r="I8" i="17"/>
  <c r="I8" i="16"/>
  <c r="I8" i="15"/>
  <c r="I8" i="14"/>
  <c r="I8" i="13"/>
  <c r="I8" i="12"/>
  <c r="I10" i="18"/>
  <c r="I10" i="17"/>
  <c r="I10" i="16"/>
  <c r="I10" i="15"/>
  <c r="I10" i="14"/>
  <c r="I10" i="13"/>
  <c r="I10" i="12"/>
  <c r="I12" i="18"/>
  <c r="I12" i="17"/>
  <c r="I12" i="16"/>
  <c r="I12" i="15"/>
  <c r="I12" i="14"/>
  <c r="I12" i="13"/>
  <c r="I12" i="12"/>
  <c r="I14" i="18"/>
  <c r="I14" i="17"/>
  <c r="I14" i="16"/>
  <c r="I14" i="15"/>
  <c r="I14" i="14"/>
  <c r="I14" i="13"/>
  <c r="I14" i="12"/>
  <c r="I16" i="18"/>
  <c r="I16" i="17"/>
  <c r="I16" i="16"/>
  <c r="I16" i="15"/>
  <c r="I16" i="14"/>
  <c r="I16" i="13"/>
  <c r="I16" i="12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B16" i="13"/>
  <c r="B16" i="14"/>
  <c r="B16" i="15"/>
  <c r="B16" i="16"/>
  <c r="B16" i="17"/>
  <c r="B16" i="18"/>
  <c r="B16" i="12"/>
  <c r="B14" i="13"/>
  <c r="B14" i="14"/>
  <c r="B14" i="15"/>
  <c r="B14" i="16"/>
  <c r="B14" i="17"/>
  <c r="B14" i="18"/>
  <c r="B14" i="12"/>
  <c r="B12" i="13"/>
  <c r="B12" i="14"/>
  <c r="B12" i="15"/>
  <c r="B12" i="16"/>
  <c r="B12" i="17"/>
  <c r="B12" i="18"/>
  <c r="B12" i="12"/>
  <c r="B10" i="13"/>
  <c r="B10" i="14"/>
  <c r="B10" i="15"/>
  <c r="B10" i="16"/>
  <c r="B10" i="17"/>
  <c r="B10" i="18"/>
  <c r="B10" i="12"/>
  <c r="B8" i="13"/>
  <c r="B8" i="14"/>
  <c r="B8" i="15"/>
  <c r="B8" i="16"/>
  <c r="B8" i="17"/>
  <c r="B8" i="18"/>
  <c r="B8" i="12"/>
  <c r="B6" i="13"/>
  <c r="B6" i="14"/>
  <c r="B6" i="15"/>
  <c r="B6" i="16"/>
  <c r="B6" i="17"/>
  <c r="B6" i="18"/>
  <c r="B6" i="12"/>
  <c r="B16" i="1"/>
  <c r="B14" i="1"/>
  <c r="B12" i="1"/>
  <c r="B10" i="1"/>
  <c r="B8" i="1"/>
  <c r="B6" i="1"/>
  <c r="K8" i="15" l="1"/>
  <c r="AE7" i="1"/>
  <c r="K6" i="18"/>
  <c r="K6" i="14"/>
  <c r="K10" i="18"/>
  <c r="K10" i="14"/>
  <c r="K12" i="18"/>
  <c r="K12" i="14"/>
  <c r="K14" i="18"/>
  <c r="K14" i="14"/>
  <c r="K16" i="17"/>
  <c r="K16" i="13"/>
  <c r="K6" i="17"/>
  <c r="K6" i="13"/>
  <c r="K8" i="17"/>
  <c r="K8" i="13"/>
  <c r="K10" i="17"/>
  <c r="K10" i="13"/>
  <c r="K12" i="17"/>
  <c r="K12" i="13"/>
  <c r="K14" i="17"/>
  <c r="K14" i="13"/>
  <c r="K16" i="16"/>
  <c r="K16" i="12"/>
  <c r="K6" i="16"/>
  <c r="K6" i="12"/>
  <c r="K8" i="16"/>
  <c r="K8" i="12"/>
  <c r="K10" i="16"/>
  <c r="K10" i="12"/>
  <c r="K12" i="16"/>
  <c r="K12" i="12"/>
  <c r="K14" i="16"/>
  <c r="K14" i="12"/>
  <c r="AE7" i="15"/>
  <c r="K6" i="15"/>
  <c r="K16" i="18"/>
  <c r="K8" i="18"/>
  <c r="K16" i="15"/>
  <c r="K16" i="14"/>
  <c r="K14" i="15"/>
  <c r="K12" i="15"/>
  <c r="K10" i="15"/>
  <c r="K8" i="14"/>
  <c r="F65" i="20"/>
  <c r="D65" i="20"/>
  <c r="F64" i="20"/>
  <c r="D64" i="20"/>
  <c r="F63" i="20"/>
  <c r="D63" i="20"/>
  <c r="F62" i="20"/>
  <c r="D62" i="20"/>
  <c r="F61" i="20"/>
  <c r="D61" i="20"/>
  <c r="F60" i="20"/>
  <c r="D60" i="20"/>
  <c r="F59" i="20"/>
  <c r="D59" i="20"/>
  <c r="F58" i="20"/>
  <c r="D58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B25" i="20"/>
  <c r="F24" i="20"/>
  <c r="D24" i="20"/>
  <c r="B24" i="20"/>
  <c r="F23" i="20"/>
  <c r="D23" i="20"/>
  <c r="B23" i="20"/>
  <c r="F22" i="20"/>
  <c r="D22" i="20"/>
  <c r="B22" i="20"/>
  <c r="F21" i="20"/>
  <c r="D21" i="20"/>
  <c r="B21" i="20"/>
  <c r="F20" i="20"/>
  <c r="D20" i="20"/>
  <c r="B20" i="20"/>
  <c r="F19" i="20"/>
  <c r="D19" i="20"/>
  <c r="B19" i="20"/>
  <c r="F18" i="20"/>
  <c r="D18" i="20"/>
  <c r="B18" i="20"/>
  <c r="F17" i="20"/>
  <c r="D17" i="20"/>
  <c r="B17" i="20"/>
  <c r="F16" i="20"/>
  <c r="D16" i="20"/>
  <c r="B16" i="20"/>
  <c r="F15" i="20"/>
  <c r="D15" i="20"/>
  <c r="B15" i="20"/>
  <c r="F14" i="20"/>
  <c r="D14" i="20"/>
  <c r="B14" i="20"/>
  <c r="F13" i="20"/>
  <c r="D13" i="20"/>
  <c r="B13" i="20"/>
  <c r="F12" i="20"/>
  <c r="D12" i="20"/>
  <c r="B12" i="20"/>
  <c r="F11" i="20"/>
  <c r="D11" i="20"/>
  <c r="B11" i="20"/>
  <c r="F10" i="20"/>
  <c r="D10" i="20"/>
  <c r="B10" i="20"/>
  <c r="F9" i="20"/>
  <c r="D9" i="20"/>
  <c r="B9" i="20"/>
  <c r="F8" i="20"/>
  <c r="D8" i="20"/>
  <c r="B8" i="20"/>
  <c r="B7" i="20"/>
  <c r="A7" i="20" s="1"/>
  <c r="B6" i="20"/>
  <c r="A6" i="20" s="1"/>
  <c r="B5" i="20"/>
  <c r="A5" i="20" s="1"/>
  <c r="B4" i="20"/>
  <c r="A4" i="20" s="1"/>
  <c r="B3" i="20"/>
  <c r="A3" i="20" s="1"/>
  <c r="B2" i="20"/>
  <c r="A2" i="20" s="1"/>
  <c r="AC7" i="1" l="1"/>
  <c r="AE7" i="14"/>
  <c r="AA7" i="1"/>
  <c r="AE7" i="16"/>
  <c r="AE7" i="18"/>
  <c r="AE7" i="12"/>
  <c r="AE7" i="17"/>
  <c r="AE7" i="13"/>
  <c r="K10" i="1"/>
  <c r="K12" i="1"/>
  <c r="K16" i="1" l="1"/>
  <c r="K8" i="1"/>
  <c r="K14" i="1"/>
  <c r="F8" i="19"/>
  <c r="G10" i="17"/>
  <c r="G10" i="18"/>
  <c r="G10" i="16"/>
  <c r="G14" i="17"/>
  <c r="G14" i="18"/>
  <c r="G14" i="16"/>
  <c r="G16" i="17"/>
  <c r="G16" i="18"/>
  <c r="G16" i="16"/>
  <c r="G10" i="15"/>
  <c r="G14" i="15"/>
  <c r="G16" i="15"/>
  <c r="AC7" i="15" l="1"/>
  <c r="AC7" i="16"/>
  <c r="AC7" i="17"/>
  <c r="AC7" i="18"/>
  <c r="AC7" i="14"/>
  <c r="AC13" i="15"/>
  <c r="AC13" i="16"/>
  <c r="AC13" i="17"/>
  <c r="AC13" i="18"/>
  <c r="AC13" i="14"/>
  <c r="AC19" i="14" s="1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AE13" i="15"/>
  <c r="AE13" i="16"/>
  <c r="AE13" i="17"/>
  <c r="AE13" i="18"/>
  <c r="AE13" i="14"/>
  <c r="AE19" i="14" s="1"/>
  <c r="AE11" i="15"/>
  <c r="AE11" i="16"/>
  <c r="AE11" i="17"/>
  <c r="AE11" i="18"/>
  <c r="AE11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AC9" i="15"/>
  <c r="AC9" i="16"/>
  <c r="AC9" i="17"/>
  <c r="AC9" i="18"/>
  <c r="AC9" i="14"/>
  <c r="L14" i="15"/>
  <c r="AD13" i="15"/>
  <c r="L14" i="16"/>
  <c r="AD13" i="16"/>
  <c r="L14" i="17"/>
  <c r="AD13" i="17"/>
  <c r="L14" i="18"/>
  <c r="AD13" i="18"/>
  <c r="L14" i="14"/>
  <c r="AD13" i="14"/>
  <c r="AB9" i="15"/>
  <c r="AB9" i="16"/>
  <c r="AB9" i="17"/>
  <c r="AB9" i="18"/>
  <c r="AB9" i="14"/>
  <c r="AB7" i="15"/>
  <c r="AB7" i="16"/>
  <c r="AB7" i="17"/>
  <c r="AB7" i="18"/>
  <c r="AB7" i="14"/>
  <c r="AB16" i="14" s="1"/>
  <c r="AA7" i="15"/>
  <c r="AA7" i="16"/>
  <c r="AA7" i="17"/>
  <c r="AA7" i="18"/>
  <c r="AA7" i="14"/>
  <c r="AA16" i="14" s="1"/>
  <c r="AA9" i="15"/>
  <c r="AA9" i="16"/>
  <c r="AA9" i="17"/>
  <c r="AA9" i="18"/>
  <c r="AA9" i="14"/>
  <c r="AE9" i="15"/>
  <c r="AE9" i="16"/>
  <c r="AE9" i="17"/>
  <c r="AE9" i="18"/>
  <c r="AE9" i="14"/>
  <c r="AE16" i="14"/>
  <c r="AD9" i="15"/>
  <c r="AD9" i="16"/>
  <c r="AD9" i="17"/>
  <c r="AD9" i="18"/>
  <c r="AD9" i="14"/>
  <c r="AD7" i="15"/>
  <c r="AD7" i="16"/>
  <c r="AD7" i="17"/>
  <c r="AD7" i="18"/>
  <c r="AD7" i="14"/>
  <c r="AD16" i="14" s="1"/>
  <c r="G16" i="14"/>
  <c r="G14" i="14"/>
  <c r="G10" i="14"/>
  <c r="AD19" i="14"/>
  <c r="AE9" i="12" l="1"/>
  <c r="AE13" i="12"/>
  <c r="AE11" i="12"/>
  <c r="AC11" i="12"/>
  <c r="AA11" i="12"/>
  <c r="AD13" i="12"/>
  <c r="AD11" i="12"/>
  <c r="AD9" i="12"/>
  <c r="AD7" i="12"/>
  <c r="AA9" i="12"/>
  <c r="AC9" i="12"/>
  <c r="AC13" i="12"/>
  <c r="AB13" i="12"/>
  <c r="AA13" i="12"/>
  <c r="AB11" i="12"/>
  <c r="AB9" i="12"/>
  <c r="AC7" i="12"/>
  <c r="AB7" i="12"/>
  <c r="AA7" i="12"/>
  <c r="AG9" i="12" l="1"/>
  <c r="AH9" i="12"/>
  <c r="G16" i="12"/>
  <c r="G14" i="12"/>
  <c r="G10" i="12"/>
  <c r="I14" i="1"/>
  <c r="F6" i="20" s="1"/>
  <c r="G12" i="1"/>
  <c r="D5" i="20" s="1"/>
  <c r="G10" i="1"/>
  <c r="D4" i="20" s="1"/>
  <c r="I12" i="1"/>
  <c r="F5" i="20" s="1"/>
  <c r="G14" i="1"/>
  <c r="D6" i="20" s="1"/>
  <c r="I16" i="1"/>
  <c r="F7" i="20" s="1"/>
  <c r="I10" i="1"/>
  <c r="F4" i="20" s="1"/>
  <c r="I8" i="1"/>
  <c r="F3" i="20" s="1"/>
  <c r="G8" i="1"/>
  <c r="D3" i="20" s="1"/>
  <c r="G16" i="1"/>
  <c r="D7" i="20" s="1"/>
  <c r="I6" i="1"/>
  <c r="F2" i="20" s="1"/>
  <c r="G12" i="13"/>
  <c r="G10" i="13"/>
  <c r="G16" i="13"/>
  <c r="G8" i="13"/>
  <c r="G14" i="13"/>
  <c r="G12" i="14"/>
  <c r="G12" i="15"/>
  <c r="G12" i="16"/>
  <c r="G12" i="17"/>
  <c r="G12" i="18"/>
  <c r="G12" i="12"/>
  <c r="G8" i="12"/>
  <c r="G8" i="14"/>
  <c r="G8" i="15"/>
  <c r="G8" i="16"/>
  <c r="G8" i="17"/>
  <c r="G8" i="18"/>
  <c r="G6" i="12"/>
  <c r="G6" i="13"/>
  <c r="G6" i="14"/>
  <c r="G6" i="15"/>
  <c r="G6" i="16"/>
  <c r="G6" i="17"/>
  <c r="G6" i="18"/>
  <c r="G6" i="1"/>
  <c r="D2" i="20" s="1"/>
  <c r="Z13" i="12" l="1"/>
  <c r="Z13" i="14"/>
  <c r="C26" i="14" s="1"/>
  <c r="Z13" i="15"/>
  <c r="C26" i="15" s="1"/>
  <c r="Z13" i="16"/>
  <c r="C26" i="16" s="1"/>
  <c r="Z13" i="17"/>
  <c r="C26" i="17" s="1"/>
  <c r="Z13" i="18"/>
  <c r="C26" i="18" s="1"/>
  <c r="Z13" i="1"/>
  <c r="C26" i="1" s="1"/>
  <c r="Z11" i="12"/>
  <c r="C25" i="12" s="1"/>
  <c r="Z11" i="13"/>
  <c r="C25" i="13" s="1"/>
  <c r="Z11" i="14"/>
  <c r="C25" i="14" s="1"/>
  <c r="Z11" i="15"/>
  <c r="C25" i="15" s="1"/>
  <c r="Z11" i="16"/>
  <c r="C25" i="16" s="1"/>
  <c r="Z11" i="17"/>
  <c r="C25" i="17" s="1"/>
  <c r="Z11" i="18"/>
  <c r="C25" i="18" s="1"/>
  <c r="Z11" i="1"/>
  <c r="C25" i="1" s="1"/>
  <c r="Z9" i="12"/>
  <c r="C24" i="12" s="1"/>
  <c r="Z9" i="13"/>
  <c r="C24" i="13" s="1"/>
  <c r="Z9" i="14"/>
  <c r="C24" i="14" s="1"/>
  <c r="Z9" i="15"/>
  <c r="C24" i="15" s="1"/>
  <c r="Z9" i="16"/>
  <c r="C24" i="16" s="1"/>
  <c r="Z9" i="17"/>
  <c r="C24" i="17" s="1"/>
  <c r="Z9" i="18"/>
  <c r="C24" i="18" s="1"/>
  <c r="Z9" i="1"/>
  <c r="C24" i="1" s="1"/>
  <c r="Z7" i="12"/>
  <c r="C23" i="12" s="1"/>
  <c r="Z7" i="13"/>
  <c r="C23" i="13" s="1"/>
  <c r="Z7" i="14"/>
  <c r="C23" i="14" s="1"/>
  <c r="Z7" i="15"/>
  <c r="C23" i="15" s="1"/>
  <c r="Z7" i="16"/>
  <c r="C23" i="16" s="1"/>
  <c r="Z7" i="17"/>
  <c r="C23" i="17" s="1"/>
  <c r="Z7" i="18"/>
  <c r="C23" i="18" s="1"/>
  <c r="Z7" i="1"/>
  <c r="C23" i="1" s="1"/>
  <c r="C26" i="12"/>
  <c r="B13" i="10" l="1"/>
  <c r="F9" i="19"/>
  <c r="AE18" i="14" l="1"/>
  <c r="AD18" i="14"/>
  <c r="AC18" i="14"/>
  <c r="AB18" i="14"/>
  <c r="AA18" i="14"/>
  <c r="AE17" i="14"/>
  <c r="AD17" i="14"/>
  <c r="AC17" i="14"/>
  <c r="AB17" i="14"/>
  <c r="AA17" i="14"/>
  <c r="AC16" i="14"/>
  <c r="AE13" i="13"/>
  <c r="AD13" i="13"/>
  <c r="AC13" i="13"/>
  <c r="AB13" i="13"/>
  <c r="AA13" i="13"/>
  <c r="AE11" i="13"/>
  <c r="AD11" i="13"/>
  <c r="AC11" i="13"/>
  <c r="AB11" i="13"/>
  <c r="AA11" i="13"/>
  <c r="AE9" i="13"/>
  <c r="AD9" i="13"/>
  <c r="AC9" i="13"/>
  <c r="AB9" i="13"/>
  <c r="AA9" i="13"/>
  <c r="AD7" i="13"/>
  <c r="AC7" i="13"/>
  <c r="AB7" i="13"/>
  <c r="AA7" i="13"/>
  <c r="AC19" i="12"/>
  <c r="AC18" i="12"/>
  <c r="AC16" i="12"/>
  <c r="AC17" i="12"/>
  <c r="AB19" i="12"/>
  <c r="AB18" i="12"/>
  <c r="AB17" i="12"/>
  <c r="AB16" i="12"/>
  <c r="AA17" i="12"/>
  <c r="AA19" i="12"/>
  <c r="AA18" i="12"/>
  <c r="AA16" i="12"/>
  <c r="AA9" i="1"/>
  <c r="AA11" i="1"/>
  <c r="AG7" i="12" l="1"/>
  <c r="U12" i="9"/>
  <c r="S11" i="9" s="1"/>
  <c r="R33" i="9"/>
  <c r="L16" i="13" l="1"/>
  <c r="L14" i="13"/>
  <c r="L12" i="13"/>
  <c r="L10" i="13"/>
  <c r="L8" i="13"/>
  <c r="L6" i="13"/>
  <c r="D6" i="10" l="1"/>
  <c r="M8" i="13"/>
  <c r="M6" i="13"/>
  <c r="C6" i="10"/>
  <c r="M16" i="13"/>
  <c r="M14" i="13"/>
  <c r="M12" i="13"/>
  <c r="M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L16" i="18"/>
  <c r="AE19" i="18"/>
  <c r="AD19" i="18"/>
  <c r="AC19" i="18"/>
  <c r="AA19" i="18"/>
  <c r="L12" i="18"/>
  <c r="AE18" i="18"/>
  <c r="AD18" i="18"/>
  <c r="AC18" i="18"/>
  <c r="AA18" i="18"/>
  <c r="L10" i="18"/>
  <c r="AE17" i="18"/>
  <c r="AD17" i="18"/>
  <c r="AC17" i="18"/>
  <c r="AA17" i="18"/>
  <c r="L8" i="18"/>
  <c r="AE16" i="18"/>
  <c r="AD16" i="18"/>
  <c r="AC16" i="18"/>
  <c r="AA16" i="18"/>
  <c r="L6" i="18"/>
  <c r="L16" i="17"/>
  <c r="AE19" i="17"/>
  <c r="AD19" i="17"/>
  <c r="AC19" i="17"/>
  <c r="AB19" i="17"/>
  <c r="AA19" i="17"/>
  <c r="L12" i="17"/>
  <c r="AE18" i="17"/>
  <c r="AD18" i="17"/>
  <c r="AC18" i="17"/>
  <c r="AB18" i="17"/>
  <c r="L10" i="17"/>
  <c r="AE17" i="17"/>
  <c r="AF9" i="17"/>
  <c r="AF17" i="17" s="1"/>
  <c r="AC17" i="17"/>
  <c r="AB17" i="17"/>
  <c r="AA17" i="17"/>
  <c r="L8" i="17"/>
  <c r="AE16" i="17"/>
  <c r="AD16" i="17"/>
  <c r="AC16" i="17"/>
  <c r="AB16" i="17"/>
  <c r="AH7" i="17"/>
  <c r="AH16" i="17" s="1"/>
  <c r="L6" i="17"/>
  <c r="M6" i="17" s="1"/>
  <c r="L16" i="16"/>
  <c r="M14" i="16"/>
  <c r="AE19" i="16"/>
  <c r="AD19" i="16"/>
  <c r="AC19" i="16"/>
  <c r="AB19" i="16"/>
  <c r="AA19" i="16"/>
  <c r="L12" i="16"/>
  <c r="AE18" i="16"/>
  <c r="AC18" i="16"/>
  <c r="AB18" i="16"/>
  <c r="AA18" i="16"/>
  <c r="L10" i="16"/>
  <c r="AE17" i="16"/>
  <c r="AD17" i="16"/>
  <c r="AC17" i="16"/>
  <c r="AB17" i="16"/>
  <c r="AA17" i="16"/>
  <c r="L8" i="16"/>
  <c r="AE16" i="16"/>
  <c r="AC16" i="16"/>
  <c r="AB16" i="16"/>
  <c r="AA16" i="16"/>
  <c r="L6" i="16"/>
  <c r="L16" i="15"/>
  <c r="AE19" i="15"/>
  <c r="AD19" i="15"/>
  <c r="AC19" i="15"/>
  <c r="AB19" i="15"/>
  <c r="AA19" i="15"/>
  <c r="L12" i="15"/>
  <c r="AE18" i="15"/>
  <c r="AD18" i="15"/>
  <c r="AC18" i="15"/>
  <c r="AB18" i="15"/>
  <c r="AA18" i="15"/>
  <c r="L10" i="15"/>
  <c r="AE17" i="15"/>
  <c r="AD17" i="15"/>
  <c r="AC17" i="15"/>
  <c r="AB17" i="15"/>
  <c r="L8" i="15"/>
  <c r="AE16" i="15"/>
  <c r="AD16" i="15"/>
  <c r="AC16" i="15"/>
  <c r="AB16" i="15"/>
  <c r="AA16" i="15"/>
  <c r="L6" i="15"/>
  <c r="L16" i="14"/>
  <c r="L12" i="14"/>
  <c r="L10" i="14"/>
  <c r="L8" i="14"/>
  <c r="L6" i="14"/>
  <c r="AE19" i="13"/>
  <c r="AD19" i="13"/>
  <c r="AC19" i="13"/>
  <c r="AB19" i="13"/>
  <c r="AA19" i="13"/>
  <c r="AE18" i="13"/>
  <c r="AD18" i="13"/>
  <c r="AC18" i="13"/>
  <c r="AA18" i="13"/>
  <c r="AE17" i="13"/>
  <c r="AD17" i="13"/>
  <c r="AC17" i="13"/>
  <c r="AB17" i="13"/>
  <c r="AA17" i="13"/>
  <c r="AE16" i="13"/>
  <c r="AD16" i="13"/>
  <c r="AC16" i="13"/>
  <c r="AA16" i="13"/>
  <c r="L16" i="12"/>
  <c r="L14" i="12"/>
  <c r="AE19" i="12"/>
  <c r="AD19" i="12"/>
  <c r="L12" i="12"/>
  <c r="AE18" i="12"/>
  <c r="AD18" i="12"/>
  <c r="L10" i="12"/>
  <c r="AE17" i="12"/>
  <c r="AD17" i="12"/>
  <c r="L8" i="12"/>
  <c r="AE16" i="12"/>
  <c r="AD16" i="12"/>
  <c r="L6" i="12"/>
  <c r="L16" i="1"/>
  <c r="L14" i="1"/>
  <c r="L12" i="1"/>
  <c r="L10" i="1"/>
  <c r="L8" i="1"/>
  <c r="M10" i="18" l="1"/>
  <c r="C5" i="10"/>
  <c r="M16" i="14"/>
  <c r="M14" i="17"/>
  <c r="M16" i="17"/>
  <c r="D9" i="10"/>
  <c r="M10" i="17"/>
  <c r="M16" i="16"/>
  <c r="M10" i="14"/>
  <c r="M6" i="14"/>
  <c r="M14" i="14"/>
  <c r="M6" i="15"/>
  <c r="M6" i="16"/>
  <c r="D5" i="10"/>
  <c r="M14" i="18"/>
  <c r="M8" i="14"/>
  <c r="M12" i="15"/>
  <c r="M6" i="18"/>
  <c r="D11" i="10"/>
  <c r="M8" i="18"/>
  <c r="M12" i="18"/>
  <c r="M16" i="18"/>
  <c r="AH7" i="18"/>
  <c r="AH16" i="18" s="1"/>
  <c r="AH11" i="18"/>
  <c r="AH18" i="18" s="1"/>
  <c r="AB16" i="18"/>
  <c r="C11" i="10"/>
  <c r="AH11" i="17"/>
  <c r="AH18" i="17" s="1"/>
  <c r="M8" i="17"/>
  <c r="D10" i="10"/>
  <c r="M12" i="17"/>
  <c r="AD17" i="17"/>
  <c r="C10" i="10"/>
  <c r="M8" i="16"/>
  <c r="M10" i="16"/>
  <c r="M12" i="16"/>
  <c r="AF7" i="16"/>
  <c r="AF16" i="16" s="1"/>
  <c r="AF11" i="16"/>
  <c r="AF18" i="16" s="1"/>
  <c r="C9" i="10"/>
  <c r="D8" i="10"/>
  <c r="M16" i="15"/>
  <c r="M14" i="15"/>
  <c r="M10" i="15"/>
  <c r="M8" i="15"/>
  <c r="AG9" i="15"/>
  <c r="AG17" i="15" s="1"/>
  <c r="C8" i="10"/>
  <c r="AG9" i="14"/>
  <c r="AG17" i="14" s="1"/>
  <c r="AG13" i="14"/>
  <c r="AG19" i="14" s="1"/>
  <c r="D7" i="10"/>
  <c r="M12" i="14"/>
  <c r="C7" i="10"/>
  <c r="M10" i="12"/>
  <c r="AH11" i="13"/>
  <c r="AH18" i="13" s="1"/>
  <c r="M6" i="12"/>
  <c r="M16" i="12"/>
  <c r="M14" i="12"/>
  <c r="M8" i="12"/>
  <c r="AG17" i="12"/>
  <c r="M12" i="12"/>
  <c r="AG13" i="12"/>
  <c r="AG19" i="12" s="1"/>
  <c r="AH7" i="13"/>
  <c r="AH16" i="13" s="1"/>
  <c r="AG7" i="17"/>
  <c r="AG16" i="17" s="1"/>
  <c r="AG9" i="17"/>
  <c r="AG17" i="17" s="1"/>
  <c r="AG11" i="17"/>
  <c r="AG18" i="17" s="1"/>
  <c r="AG13" i="17"/>
  <c r="AG19" i="17" s="1"/>
  <c r="AA16" i="17"/>
  <c r="AA18" i="17"/>
  <c r="AB17" i="18"/>
  <c r="AH9" i="18"/>
  <c r="AH17" i="18" s="1"/>
  <c r="AF9" i="18"/>
  <c r="AF17" i="18" s="1"/>
  <c r="AB19" i="18"/>
  <c r="AH13" i="18"/>
  <c r="AH19" i="18" s="1"/>
  <c r="AF13" i="18"/>
  <c r="AF19" i="18" s="1"/>
  <c r="AF7" i="17"/>
  <c r="AF16" i="17" s="1"/>
  <c r="AH9" i="17"/>
  <c r="AH17" i="17" s="1"/>
  <c r="AF11" i="17"/>
  <c r="AF18" i="17" s="1"/>
  <c r="AF13" i="17"/>
  <c r="AF19" i="17" s="1"/>
  <c r="AH13" i="17"/>
  <c r="AH19" i="17" s="1"/>
  <c r="AF7" i="18"/>
  <c r="AF16" i="18" s="1"/>
  <c r="AF11" i="18"/>
  <c r="AF18" i="18" s="1"/>
  <c r="AB18" i="18"/>
  <c r="AG9" i="18"/>
  <c r="AG17" i="18" s="1"/>
  <c r="AG13" i="18"/>
  <c r="AG19" i="18" s="1"/>
  <c r="AG7" i="18"/>
  <c r="AG16" i="18" s="1"/>
  <c r="AG11" i="18"/>
  <c r="AG18" i="18" s="1"/>
  <c r="AF7" i="15"/>
  <c r="AF16" i="15" s="1"/>
  <c r="AH7" i="15"/>
  <c r="AH16" i="15" s="1"/>
  <c r="AF9" i="15"/>
  <c r="AF17" i="15" s="1"/>
  <c r="AH9" i="15"/>
  <c r="AH17" i="15" s="1"/>
  <c r="AF11" i="15"/>
  <c r="AF18" i="15" s="1"/>
  <c r="AH11" i="15"/>
  <c r="AH18" i="15" s="1"/>
  <c r="AF13" i="15"/>
  <c r="AF19" i="15" s="1"/>
  <c r="AH13" i="15"/>
  <c r="AH19" i="15" s="1"/>
  <c r="AA17" i="15"/>
  <c r="AG7" i="15"/>
  <c r="AG16" i="15" s="1"/>
  <c r="AG11" i="15"/>
  <c r="AG18" i="15" s="1"/>
  <c r="AG13" i="15"/>
  <c r="AG19" i="15" s="1"/>
  <c r="AH7" i="16"/>
  <c r="AH16" i="16" s="1"/>
  <c r="AG9" i="16"/>
  <c r="AG17" i="16" s="1"/>
  <c r="AH9" i="16"/>
  <c r="AH17" i="16" s="1"/>
  <c r="AH11" i="16"/>
  <c r="AH18" i="16" s="1"/>
  <c r="AG13" i="16"/>
  <c r="AG19" i="16" s="1"/>
  <c r="AH13" i="16"/>
  <c r="AH19" i="16" s="1"/>
  <c r="AD16" i="16"/>
  <c r="AD18" i="16"/>
  <c r="AF9" i="16"/>
  <c r="AF17" i="16" s="1"/>
  <c r="AF13" i="16"/>
  <c r="AF19" i="16" s="1"/>
  <c r="AG7" i="16"/>
  <c r="AG16" i="16" s="1"/>
  <c r="AG11" i="16"/>
  <c r="AG18" i="16" s="1"/>
  <c r="AH7" i="14"/>
  <c r="AH16" i="14" s="1"/>
  <c r="AG7" i="14"/>
  <c r="AG16" i="14" s="1"/>
  <c r="AF7" i="14"/>
  <c r="AF16" i="14" s="1"/>
  <c r="AF9" i="14"/>
  <c r="AF17" i="14" s="1"/>
  <c r="AH9" i="14"/>
  <c r="AH17" i="14" s="1"/>
  <c r="AF11" i="14"/>
  <c r="AF18" i="14" s="1"/>
  <c r="AH11" i="14"/>
  <c r="AH18" i="14" s="1"/>
  <c r="AF13" i="14"/>
  <c r="AF19" i="14" s="1"/>
  <c r="AH13" i="14"/>
  <c r="AH19" i="14" s="1"/>
  <c r="AG11" i="14"/>
  <c r="AG18" i="14" s="1"/>
  <c r="AF7" i="13"/>
  <c r="AF16" i="13" s="1"/>
  <c r="AF9" i="13"/>
  <c r="AF17" i="13" s="1"/>
  <c r="AF11" i="13"/>
  <c r="AF18" i="13" s="1"/>
  <c r="AF13" i="13"/>
  <c r="AF19" i="13" s="1"/>
  <c r="AB16" i="13"/>
  <c r="AB18" i="13"/>
  <c r="AG9" i="13"/>
  <c r="AG17" i="13" s="1"/>
  <c r="AH9" i="13"/>
  <c r="AH17" i="13" s="1"/>
  <c r="AG13" i="13"/>
  <c r="AG19" i="13" s="1"/>
  <c r="AH13" i="13"/>
  <c r="AH19" i="13" s="1"/>
  <c r="AG7" i="13"/>
  <c r="AG16" i="13" s="1"/>
  <c r="AG11" i="13"/>
  <c r="AG18" i="13" s="1"/>
  <c r="AH7" i="12"/>
  <c r="AH16" i="12" s="1"/>
  <c r="AG16" i="12"/>
  <c r="AF7" i="12"/>
  <c r="AF16" i="12" s="1"/>
  <c r="AF9" i="12"/>
  <c r="AF17" i="12" s="1"/>
  <c r="AH17" i="12"/>
  <c r="AF11" i="12"/>
  <c r="AF18" i="12" s="1"/>
  <c r="AH11" i="12"/>
  <c r="AH18" i="12" s="1"/>
  <c r="AF13" i="12"/>
  <c r="AF19" i="12" s="1"/>
  <c r="AH13" i="12"/>
  <c r="AH19" i="12" s="1"/>
  <c r="AG11" i="12"/>
  <c r="AG18" i="12" s="1"/>
  <c r="AE13" i="1"/>
  <c r="AE19" i="1" s="1"/>
  <c r="AD13" i="1"/>
  <c r="AD19" i="1" s="1"/>
  <c r="AC13" i="1"/>
  <c r="AC19" i="1" s="1"/>
  <c r="AB13" i="1"/>
  <c r="AB19" i="1" s="1"/>
  <c r="AA13" i="1"/>
  <c r="AA19" i="1" s="1"/>
  <c r="AE11" i="1"/>
  <c r="AE18" i="1" s="1"/>
  <c r="AD11" i="1"/>
  <c r="AC11" i="1"/>
  <c r="AC18" i="1" s="1"/>
  <c r="AB11" i="1"/>
  <c r="AB18" i="1" s="1"/>
  <c r="AE9" i="1"/>
  <c r="AE17" i="1" s="1"/>
  <c r="AD9" i="1"/>
  <c r="AD17" i="1" s="1"/>
  <c r="AC9" i="1"/>
  <c r="AC17" i="1" s="1"/>
  <c r="AB9" i="1"/>
  <c r="AB17" i="1" s="1"/>
  <c r="AE16" i="1"/>
  <c r="AD7" i="1"/>
  <c r="AF7" i="1" s="1"/>
  <c r="AC16" i="1"/>
  <c r="AB7" i="1"/>
  <c r="AB16" i="1" s="1"/>
  <c r="AA16" i="1"/>
  <c r="AI16" i="14" l="1"/>
  <c r="AI19" i="14"/>
  <c r="AI17" i="14"/>
  <c r="AI18" i="14"/>
  <c r="AI16" i="16"/>
  <c r="AI17" i="17"/>
  <c r="AI18" i="16"/>
  <c r="AI17" i="15"/>
  <c r="AI19" i="18"/>
  <c r="AI18" i="15"/>
  <c r="AI19" i="12"/>
  <c r="AI18" i="12"/>
  <c r="AI17" i="12"/>
  <c r="AI16" i="13"/>
  <c r="AI18" i="18"/>
  <c r="AI19" i="15"/>
  <c r="AI16" i="15"/>
  <c r="AI17" i="13"/>
  <c r="AI19" i="13"/>
  <c r="AI18" i="17"/>
  <c r="AI16" i="17"/>
  <c r="AI16" i="18"/>
  <c r="AI17" i="18"/>
  <c r="AI19" i="17"/>
  <c r="AI17" i="16"/>
  <c r="AI19" i="16"/>
  <c r="AI18" i="13"/>
  <c r="AI16" i="12"/>
  <c r="AF11" i="1"/>
  <c r="AF18" i="1" s="1"/>
  <c r="AH11" i="1"/>
  <c r="AH18" i="1" s="1"/>
  <c r="AA18" i="1"/>
  <c r="AD18" i="1"/>
  <c r="AF16" i="1"/>
  <c r="AH9" i="1"/>
  <c r="AH17" i="1" s="1"/>
  <c r="AA17" i="1"/>
  <c r="AD16" i="1"/>
  <c r="AF9" i="1"/>
  <c r="AF17" i="1" s="1"/>
  <c r="AF13" i="1"/>
  <c r="AF19" i="1" s="1"/>
  <c r="AH7" i="1"/>
  <c r="AH16" i="1" s="1"/>
  <c r="AH13" i="1"/>
  <c r="AH19" i="1" s="1"/>
  <c r="AG7" i="1"/>
  <c r="AG16" i="1" s="1"/>
  <c r="AG9" i="1"/>
  <c r="AG17" i="1" s="1"/>
  <c r="AG11" i="1"/>
  <c r="AG18" i="1" s="1"/>
  <c r="AG13" i="1"/>
  <c r="AG19" i="1" s="1"/>
  <c r="AK16" i="16" l="1"/>
  <c r="AK19" i="14"/>
  <c r="AM16" i="14"/>
  <c r="AK18" i="17"/>
  <c r="AL16" i="17"/>
  <c r="AK18" i="18"/>
  <c r="AL16" i="18"/>
  <c r="AK18" i="14"/>
  <c r="AL16" i="14"/>
  <c r="AK18" i="16"/>
  <c r="AL16" i="16"/>
  <c r="AK18" i="15"/>
  <c r="AL16" i="15"/>
  <c r="AM17" i="17"/>
  <c r="AL17" i="17"/>
  <c r="AK17" i="15"/>
  <c r="AL17" i="15"/>
  <c r="AM17" i="15"/>
  <c r="AJ18" i="14"/>
  <c r="AM18" i="14"/>
  <c r="AM19" i="14"/>
  <c r="AL18" i="14"/>
  <c r="AL19" i="14"/>
  <c r="AJ17" i="14"/>
  <c r="AJ16" i="14"/>
  <c r="AM17" i="14"/>
  <c r="AK16" i="14"/>
  <c r="AK17" i="14"/>
  <c r="AJ19" i="14"/>
  <c r="AL17" i="14"/>
  <c r="AM16" i="13"/>
  <c r="AM18" i="18"/>
  <c r="AM19" i="12"/>
  <c r="AL18" i="15"/>
  <c r="AJ18" i="15"/>
  <c r="AL18" i="16"/>
  <c r="AK16" i="13"/>
  <c r="AM17" i="12"/>
  <c r="AM18" i="12"/>
  <c r="AL17" i="12"/>
  <c r="AL18" i="12"/>
  <c r="AL19" i="12"/>
  <c r="AI19" i="1"/>
  <c r="AM19" i="18"/>
  <c r="AK19" i="18"/>
  <c r="AJ17" i="17"/>
  <c r="AM18" i="15"/>
  <c r="AK19" i="15"/>
  <c r="AJ17" i="15"/>
  <c r="AJ16" i="15"/>
  <c r="AK16" i="15"/>
  <c r="AJ19" i="15"/>
  <c r="AM16" i="15"/>
  <c r="AM19" i="15"/>
  <c r="AL19" i="15"/>
  <c r="AJ17" i="13"/>
  <c r="AL19" i="13"/>
  <c r="AK17" i="13"/>
  <c r="AM17" i="13"/>
  <c r="AK19" i="13"/>
  <c r="AJ19" i="13"/>
  <c r="AJ16" i="13"/>
  <c r="AL17" i="18"/>
  <c r="AJ17" i="18"/>
  <c r="AK17" i="18"/>
  <c r="AM17" i="18"/>
  <c r="AJ19" i="18"/>
  <c r="AJ16" i="17"/>
  <c r="AM16" i="17"/>
  <c r="AK16" i="17"/>
  <c r="AJ18" i="18"/>
  <c r="AK17" i="17"/>
  <c r="AM19" i="17"/>
  <c r="AK19" i="17"/>
  <c r="AL19" i="17"/>
  <c r="AJ19" i="17"/>
  <c r="AM16" i="18"/>
  <c r="AK16" i="18"/>
  <c r="AJ16" i="18"/>
  <c r="AL19" i="18"/>
  <c r="AL18" i="17"/>
  <c r="AJ18" i="17"/>
  <c r="AM18" i="17"/>
  <c r="AL18" i="18"/>
  <c r="AL19" i="16"/>
  <c r="AJ19" i="16"/>
  <c r="AK19" i="16"/>
  <c r="AM19" i="16"/>
  <c r="AJ18" i="16"/>
  <c r="AM18" i="16"/>
  <c r="AL17" i="16"/>
  <c r="AJ17" i="16"/>
  <c r="AM17" i="16"/>
  <c r="AK17" i="16"/>
  <c r="AJ16" i="16"/>
  <c r="AM16" i="16"/>
  <c r="AM18" i="13"/>
  <c r="AK18" i="13"/>
  <c r="AL18" i="13"/>
  <c r="AJ18" i="13"/>
  <c r="AL17" i="13"/>
  <c r="AM19" i="13"/>
  <c r="AL16" i="13"/>
  <c r="AM16" i="12"/>
  <c r="AK16" i="12"/>
  <c r="AL16" i="12"/>
  <c r="AJ16" i="12"/>
  <c r="AJ18" i="12"/>
  <c r="AK18" i="12"/>
  <c r="AK17" i="12"/>
  <c r="AJ17" i="12"/>
  <c r="AK19" i="12"/>
  <c r="AJ19" i="12"/>
  <c r="AI18" i="1"/>
  <c r="AI17" i="1"/>
  <c r="AI16" i="1"/>
  <c r="AN16" i="13" l="1"/>
  <c r="AN16" i="16"/>
  <c r="AN17" i="17"/>
  <c r="AN17" i="15"/>
  <c r="AN16" i="14"/>
  <c r="AN18" i="14"/>
  <c r="AN17" i="14"/>
  <c r="AN19" i="14"/>
  <c r="AK19" i="1"/>
  <c r="AN18" i="16"/>
  <c r="AN18" i="15"/>
  <c r="AN16" i="15"/>
  <c r="AN17" i="12"/>
  <c r="AN19" i="12"/>
  <c r="AN18" i="12"/>
  <c r="AN19" i="18"/>
  <c r="AN18" i="18"/>
  <c r="AN17" i="18"/>
  <c r="AN18" i="17"/>
  <c r="AN16" i="17"/>
  <c r="AN17" i="16"/>
  <c r="AN19" i="15"/>
  <c r="AN19" i="13"/>
  <c r="AN17" i="13"/>
  <c r="AN16" i="12"/>
  <c r="AN16" i="18"/>
  <c r="AN19" i="17"/>
  <c r="AN19" i="16"/>
  <c r="AN18" i="13"/>
  <c r="AK18" i="1"/>
  <c r="AL16" i="1"/>
  <c r="AL18" i="1"/>
  <c r="AK17" i="1"/>
  <c r="AL17" i="1"/>
  <c r="AK16" i="1"/>
  <c r="AM18" i="1"/>
  <c r="AM19" i="1"/>
  <c r="AM16" i="1"/>
  <c r="AL19" i="1"/>
  <c r="AM17" i="1"/>
  <c r="AJ18" i="1"/>
  <c r="AJ19" i="1"/>
  <c r="AJ16" i="1"/>
  <c r="AJ17" i="1"/>
  <c r="M8" i="1"/>
  <c r="M10" i="1"/>
  <c r="M12" i="1"/>
  <c r="M14" i="1"/>
  <c r="M16" i="1"/>
  <c r="AO16" i="13" l="1"/>
  <c r="AO17" i="15"/>
  <c r="AQ16" i="13"/>
  <c r="AP17" i="17"/>
  <c r="AP16" i="16"/>
  <c r="AO16" i="16"/>
  <c r="AO17" i="17"/>
  <c r="AP18" i="15"/>
  <c r="AO18" i="14"/>
  <c r="AO18" i="16"/>
  <c r="AQ18" i="15"/>
  <c r="AP17" i="15"/>
  <c r="AP16" i="14"/>
  <c r="AQ18" i="14"/>
  <c r="AQ17" i="14"/>
  <c r="AP17" i="14"/>
  <c r="AP19" i="14"/>
  <c r="AP18" i="14"/>
  <c r="AQ19" i="14"/>
  <c r="AO19" i="14"/>
  <c r="AO17" i="14"/>
  <c r="AO16" i="14"/>
  <c r="AQ16" i="14"/>
  <c r="AO18" i="15"/>
  <c r="AP19" i="12"/>
  <c r="AQ19" i="16"/>
  <c r="AP18" i="17"/>
  <c r="AP16" i="15"/>
  <c r="AO16" i="15"/>
  <c r="AO17" i="13"/>
  <c r="AP17" i="12"/>
  <c r="AQ16" i="12"/>
  <c r="AQ17" i="12"/>
  <c r="AP18" i="12"/>
  <c r="AQ19" i="12"/>
  <c r="AQ18" i="12"/>
  <c r="AQ19" i="15"/>
  <c r="AQ18" i="18"/>
  <c r="AQ17" i="18"/>
  <c r="AQ19" i="18"/>
  <c r="AP17" i="18"/>
  <c r="AP19" i="18"/>
  <c r="AP18" i="18"/>
  <c r="AO16" i="17"/>
  <c r="AO18" i="17"/>
  <c r="AP16" i="17"/>
  <c r="AP17" i="16"/>
  <c r="AO17" i="16"/>
  <c r="AP19" i="16"/>
  <c r="AP18" i="16"/>
  <c r="AQ16" i="15"/>
  <c r="AO19" i="15"/>
  <c r="AQ17" i="15"/>
  <c r="AP19" i="15"/>
  <c r="AO18" i="12"/>
  <c r="AQ17" i="13"/>
  <c r="AP19" i="13"/>
  <c r="AO19" i="13"/>
  <c r="AP18" i="13"/>
  <c r="AO17" i="12"/>
  <c r="AO16" i="12"/>
  <c r="AP16" i="12"/>
  <c r="AO19" i="12"/>
  <c r="AQ18" i="13"/>
  <c r="AQ17" i="17"/>
  <c r="AQ18" i="17"/>
  <c r="AP19" i="17"/>
  <c r="AQ16" i="17"/>
  <c r="AO19" i="17"/>
  <c r="AO18" i="18"/>
  <c r="AQ16" i="18"/>
  <c r="AO16" i="18"/>
  <c r="AO17" i="18"/>
  <c r="AP16" i="18"/>
  <c r="AO19" i="18"/>
  <c r="AQ19" i="17"/>
  <c r="AQ18" i="16"/>
  <c r="AQ17" i="16"/>
  <c r="AO19" i="16"/>
  <c r="AQ16" i="16"/>
  <c r="AP17" i="13"/>
  <c r="AQ19" i="13"/>
  <c r="AP16" i="13"/>
  <c r="AO18" i="13"/>
  <c r="AN19" i="1"/>
  <c r="AN16" i="1"/>
  <c r="AN18" i="1"/>
  <c r="AN17" i="1"/>
  <c r="AR16" i="13" l="1"/>
  <c r="AR17" i="15"/>
  <c r="AR17" i="17"/>
  <c r="AR16" i="16"/>
  <c r="AR18" i="15"/>
  <c r="AR18" i="14"/>
  <c r="AR16" i="14"/>
  <c r="AR19" i="14"/>
  <c r="AR17" i="14"/>
  <c r="AR19" i="12"/>
  <c r="AR16" i="15"/>
  <c r="AR19" i="15"/>
  <c r="AR17" i="18"/>
  <c r="AR17" i="12"/>
  <c r="AR18" i="12"/>
  <c r="AR19" i="18"/>
  <c r="AR18" i="18"/>
  <c r="AR18" i="17"/>
  <c r="AR19" i="17"/>
  <c r="AR16" i="17"/>
  <c r="AR18" i="16"/>
  <c r="AR17" i="16"/>
  <c r="AR19" i="16"/>
  <c r="AR17" i="13"/>
  <c r="AR19" i="13"/>
  <c r="AR18" i="13"/>
  <c r="AR16" i="12"/>
  <c r="AR16" i="18"/>
  <c r="AQ19" i="1"/>
  <c r="AP17" i="1"/>
  <c r="AQ18" i="1"/>
  <c r="AQ17" i="1"/>
  <c r="AP19" i="1"/>
  <c r="AP18" i="1"/>
  <c r="AO18" i="1"/>
  <c r="AO17" i="1"/>
  <c r="AO16" i="1"/>
  <c r="AO19" i="1"/>
  <c r="AP16" i="1"/>
  <c r="AQ16" i="1"/>
  <c r="AS16" i="14" l="1"/>
  <c r="AS16" i="15"/>
  <c r="AS18" i="15"/>
  <c r="AS18" i="14"/>
  <c r="AS17" i="15"/>
  <c r="AS17" i="14"/>
  <c r="AS19" i="14"/>
  <c r="AS19" i="15"/>
  <c r="AS17" i="12"/>
  <c r="AS18" i="17"/>
  <c r="AS17" i="17"/>
  <c r="AS18" i="13"/>
  <c r="AS16" i="13"/>
  <c r="AS19" i="12"/>
  <c r="AS16" i="18"/>
  <c r="AS17" i="18"/>
  <c r="AS19" i="17"/>
  <c r="AS16" i="17"/>
  <c r="AS16" i="16"/>
  <c r="AS18" i="16"/>
  <c r="AS19" i="16"/>
  <c r="AS17" i="16"/>
  <c r="AS19" i="13"/>
  <c r="AS17" i="13"/>
  <c r="AS16" i="12"/>
  <c r="AS18" i="12"/>
  <c r="AS19" i="18"/>
  <c r="AS18" i="18"/>
  <c r="AR18" i="1"/>
  <c r="AR19" i="1"/>
  <c r="AR17" i="1"/>
  <c r="AR16" i="1"/>
  <c r="AG22" i="15" l="1"/>
  <c r="U9" i="15" s="1"/>
  <c r="AG22" i="14"/>
  <c r="AB24" i="15"/>
  <c r="P13" i="15" s="1"/>
  <c r="AA22" i="15"/>
  <c r="O9" i="15" s="1"/>
  <c r="Z22" i="15"/>
  <c r="N9" i="15" s="1"/>
  <c r="S17" i="15" s="1"/>
  <c r="AA26" i="9" s="1"/>
  <c r="F56" i="20" s="1"/>
  <c r="Z21" i="15"/>
  <c r="N7" i="15" s="1"/>
  <c r="S16" i="15" s="1"/>
  <c r="C21" i="9" s="1"/>
  <c r="D52" i="20" s="1"/>
  <c r="AE23" i="15"/>
  <c r="S11" i="15" s="1"/>
  <c r="AD21" i="15"/>
  <c r="R7" i="15" s="1"/>
  <c r="AB21" i="15"/>
  <c r="P7" i="15" s="1"/>
  <c r="AG21" i="15"/>
  <c r="U7" i="15" s="1"/>
  <c r="AF21" i="15"/>
  <c r="T7" i="15" s="1"/>
  <c r="AF23" i="15"/>
  <c r="T11" i="15" s="1"/>
  <c r="AC23" i="15"/>
  <c r="Q11" i="15" s="1"/>
  <c r="AC21" i="15"/>
  <c r="Q7" i="15" s="1"/>
  <c r="Z21" i="14"/>
  <c r="N7" i="14" s="1"/>
  <c r="S16" i="14" s="1"/>
  <c r="AC21" i="14"/>
  <c r="Q7" i="14" s="1"/>
  <c r="AH21" i="14"/>
  <c r="V7" i="14" s="1"/>
  <c r="AG21" i="14"/>
  <c r="U7" i="14" s="1"/>
  <c r="AF21" i="14"/>
  <c r="T7" i="14" s="1"/>
  <c r="AB21" i="14"/>
  <c r="P7" i="14" s="1"/>
  <c r="AD21" i="14"/>
  <c r="R7" i="14" s="1"/>
  <c r="AE21" i="14"/>
  <c r="S7" i="14" s="1"/>
  <c r="AA21" i="14"/>
  <c r="O7" i="14" s="1"/>
  <c r="AE21" i="15"/>
  <c r="S7" i="15" s="1"/>
  <c r="AC22" i="14"/>
  <c r="Q9" i="14" s="1"/>
  <c r="Z22" i="14"/>
  <c r="N9" i="14" s="1"/>
  <c r="S17" i="14" s="1"/>
  <c r="AB22" i="14"/>
  <c r="P9" i="14" s="1"/>
  <c r="AA21" i="15"/>
  <c r="O7" i="15" s="1"/>
  <c r="AE24" i="15"/>
  <c r="S13" i="15" s="1"/>
  <c r="AD22" i="14"/>
  <c r="R9" i="14" s="1"/>
  <c r="AF22" i="14"/>
  <c r="T9" i="14" s="1"/>
  <c r="AE22" i="14"/>
  <c r="S9" i="14" s="1"/>
  <c r="AH22" i="14"/>
  <c r="V9" i="14" s="1"/>
  <c r="AH21" i="15"/>
  <c r="V7" i="15" s="1"/>
  <c r="AA23" i="14"/>
  <c r="O11" i="14" s="1"/>
  <c r="AA22" i="14"/>
  <c r="O9" i="14" s="1"/>
  <c r="AF24" i="14"/>
  <c r="T13" i="14" s="1"/>
  <c r="AG24" i="14"/>
  <c r="U13" i="14" s="1"/>
  <c r="AD24" i="15"/>
  <c r="R13" i="15" s="1"/>
  <c r="AB24" i="14"/>
  <c r="P13" i="14" s="1"/>
  <c r="AD24" i="14"/>
  <c r="R13" i="14" s="1"/>
  <c r="AA24" i="14"/>
  <c r="O13" i="14" s="1"/>
  <c r="AH24" i="14"/>
  <c r="V13" i="14" s="1"/>
  <c r="AE24" i="14"/>
  <c r="S13" i="14" s="1"/>
  <c r="AB23" i="15"/>
  <c r="P11" i="15" s="1"/>
  <c r="AA23" i="15"/>
  <c r="O11" i="15" s="1"/>
  <c r="AH23" i="15"/>
  <c r="V11" i="15" s="1"/>
  <c r="Z23" i="15"/>
  <c r="N11" i="15" s="1"/>
  <c r="AG23" i="15"/>
  <c r="U11" i="15" s="1"/>
  <c r="AD23" i="15"/>
  <c r="R11" i="15" s="1"/>
  <c r="Z24" i="14"/>
  <c r="N13" i="14" s="1"/>
  <c r="AC24" i="14"/>
  <c r="Q13" i="14" s="1"/>
  <c r="AC23" i="14"/>
  <c r="Q11" i="14" s="1"/>
  <c r="AB23" i="14"/>
  <c r="P11" i="14" s="1"/>
  <c r="AH23" i="14"/>
  <c r="V11" i="14" s="1"/>
  <c r="Z23" i="14"/>
  <c r="N11" i="14" s="1"/>
  <c r="AD23" i="14"/>
  <c r="R11" i="14" s="1"/>
  <c r="AE23" i="14"/>
  <c r="S11" i="14" s="1"/>
  <c r="AG23" i="14"/>
  <c r="U11" i="14" s="1"/>
  <c r="AF23" i="14"/>
  <c r="T11" i="14" s="1"/>
  <c r="AC24" i="15"/>
  <c r="Q13" i="15" s="1"/>
  <c r="AH24" i="15"/>
  <c r="V13" i="15" s="1"/>
  <c r="Z24" i="15"/>
  <c r="N13" i="15" s="1"/>
  <c r="AG24" i="15"/>
  <c r="U13" i="15" s="1"/>
  <c r="Z22" i="17"/>
  <c r="N9" i="17" s="1"/>
  <c r="S17" i="17" s="1"/>
  <c r="AA34" i="9" s="1"/>
  <c r="F57" i="20" s="1"/>
  <c r="Z23" i="17"/>
  <c r="N11" i="17" s="1"/>
  <c r="Z21" i="17"/>
  <c r="N7" i="17" s="1"/>
  <c r="S16" i="17" s="1"/>
  <c r="Z21" i="16"/>
  <c r="N7" i="16" s="1"/>
  <c r="S16" i="16" s="1"/>
  <c r="AA21" i="9" s="1"/>
  <c r="D56" i="20" s="1"/>
  <c r="Z23" i="16"/>
  <c r="N11" i="16" s="1"/>
  <c r="Z22" i="16"/>
  <c r="N9" i="16" s="1"/>
  <c r="S17" i="16" s="1"/>
  <c r="Z21" i="18"/>
  <c r="N7" i="18" s="1"/>
  <c r="S16" i="18" s="1"/>
  <c r="Z22" i="18"/>
  <c r="N9" i="18" s="1"/>
  <c r="S17" i="18" s="1"/>
  <c r="Z23" i="18"/>
  <c r="N11" i="18" s="1"/>
  <c r="Z23" i="13"/>
  <c r="N11" i="13" s="1"/>
  <c r="Z21" i="13"/>
  <c r="C26" i="13" s="1"/>
  <c r="Z22" i="13"/>
  <c r="N9" i="13" s="1"/>
  <c r="S17" i="13" s="1"/>
  <c r="Z22" i="12"/>
  <c r="N9" i="12" s="1"/>
  <c r="S17" i="12" s="1"/>
  <c r="Z21" i="12"/>
  <c r="N7" i="12" s="1"/>
  <c r="S16" i="12" s="1"/>
  <c r="Z23" i="12"/>
  <c r="N11" i="12" s="1"/>
  <c r="AA22" i="17"/>
  <c r="O9" i="17" s="1"/>
  <c r="AE21" i="17"/>
  <c r="S7" i="17" s="1"/>
  <c r="AH21" i="17"/>
  <c r="V7" i="17" s="1"/>
  <c r="AE22" i="17"/>
  <c r="S9" i="17" s="1"/>
  <c r="AH22" i="16"/>
  <c r="V9" i="16" s="1"/>
  <c r="AF23" i="16"/>
  <c r="T11" i="16" s="1"/>
  <c r="AA24" i="15"/>
  <c r="O13" i="15" s="1"/>
  <c r="AF24" i="15"/>
  <c r="T13" i="15" s="1"/>
  <c r="AH22" i="15"/>
  <c r="V9" i="15" s="1"/>
  <c r="AF22" i="15"/>
  <c r="T9" i="15" s="1"/>
  <c r="AD22" i="15"/>
  <c r="R9" i="15" s="1"/>
  <c r="AB22" i="15"/>
  <c r="P9" i="15" s="1"/>
  <c r="AE22" i="15"/>
  <c r="S9" i="15" s="1"/>
  <c r="AC22" i="15"/>
  <c r="Q9" i="15" s="1"/>
  <c r="AB22" i="17"/>
  <c r="P9" i="17" s="1"/>
  <c r="AF22" i="17"/>
  <c r="T9" i="17" s="1"/>
  <c r="AF22" i="16"/>
  <c r="T9" i="16" s="1"/>
  <c r="AG23" i="17"/>
  <c r="U11" i="17" s="1"/>
  <c r="AB21" i="17"/>
  <c r="P7" i="17" s="1"/>
  <c r="AB24" i="17"/>
  <c r="P13" i="17" s="1"/>
  <c r="AD21" i="17"/>
  <c r="R7" i="17" s="1"/>
  <c r="AD22" i="17"/>
  <c r="R9" i="17" s="1"/>
  <c r="AC21" i="17"/>
  <c r="Q7" i="17" s="1"/>
  <c r="AA23" i="17"/>
  <c r="O11" i="17" s="1"/>
  <c r="AF21" i="17"/>
  <c r="T7" i="17" s="1"/>
  <c r="AC24" i="17"/>
  <c r="Q13" i="17" s="1"/>
  <c r="AA21" i="17"/>
  <c r="O7" i="17" s="1"/>
  <c r="AH22" i="17"/>
  <c r="V9" i="17" s="1"/>
  <c r="AG21" i="17"/>
  <c r="U7" i="17" s="1"/>
  <c r="AF21" i="16"/>
  <c r="T7" i="16" s="1"/>
  <c r="AE22" i="16"/>
  <c r="S9" i="16" s="1"/>
  <c r="AC22" i="16"/>
  <c r="Q9" i="16" s="1"/>
  <c r="AE21" i="16"/>
  <c r="S7" i="16" s="1"/>
  <c r="AC24" i="16"/>
  <c r="Q13" i="16" s="1"/>
  <c r="AF22" i="13"/>
  <c r="T9" i="13" s="1"/>
  <c r="AC22" i="13"/>
  <c r="Q9" i="13" s="1"/>
  <c r="AG24" i="13"/>
  <c r="U13" i="13" s="1"/>
  <c r="AB22" i="13"/>
  <c r="P9" i="13" s="1"/>
  <c r="AF21" i="13"/>
  <c r="T7" i="13" s="1"/>
  <c r="AC21" i="13"/>
  <c r="Q7" i="13" s="1"/>
  <c r="AD21" i="13"/>
  <c r="R7" i="13" s="1"/>
  <c r="AD23" i="13"/>
  <c r="R11" i="13" s="1"/>
  <c r="AH22" i="12"/>
  <c r="V9" i="12" s="1"/>
  <c r="AG21" i="12"/>
  <c r="U7" i="12" s="1"/>
  <c r="AG22" i="12"/>
  <c r="U9" i="12" s="1"/>
  <c r="AC24" i="12"/>
  <c r="Q13" i="12" s="1"/>
  <c r="AH21" i="12"/>
  <c r="V7" i="12" s="1"/>
  <c r="AB21" i="12"/>
  <c r="P7" i="12" s="1"/>
  <c r="AA22" i="12"/>
  <c r="O9" i="12" s="1"/>
  <c r="AG24" i="12"/>
  <c r="U13" i="12" s="1"/>
  <c r="AC22" i="12"/>
  <c r="Q9" i="12" s="1"/>
  <c r="AC21" i="12"/>
  <c r="Q7" i="12" s="1"/>
  <c r="AD21" i="12"/>
  <c r="R7" i="12" s="1"/>
  <c r="AD23" i="12"/>
  <c r="R11" i="12" s="1"/>
  <c r="AF21" i="12"/>
  <c r="T7" i="12" s="1"/>
  <c r="AE22" i="12"/>
  <c r="S9" i="12" s="1"/>
  <c r="AH23" i="12"/>
  <c r="V11" i="12" s="1"/>
  <c r="AE24" i="12"/>
  <c r="S13" i="12" s="1"/>
  <c r="AG21" i="13"/>
  <c r="U7" i="13" s="1"/>
  <c r="AB23" i="12"/>
  <c r="P11" i="12" s="1"/>
  <c r="AF23" i="12"/>
  <c r="T11" i="12" s="1"/>
  <c r="AA24" i="12"/>
  <c r="O13" i="12" s="1"/>
  <c r="AB21" i="13"/>
  <c r="P7" i="13" s="1"/>
  <c r="AE22" i="13"/>
  <c r="S9" i="13" s="1"/>
  <c r="AH21" i="13"/>
  <c r="V7" i="13" s="1"/>
  <c r="AB23" i="13"/>
  <c r="P11" i="13" s="1"/>
  <c r="AA21" i="13"/>
  <c r="O7" i="13" s="1"/>
  <c r="AH21" i="16"/>
  <c r="V7" i="16" s="1"/>
  <c r="AG22" i="16"/>
  <c r="U9" i="16" s="1"/>
  <c r="AE24" i="16"/>
  <c r="S13" i="16" s="1"/>
  <c r="AA22" i="16"/>
  <c r="O9" i="16" s="1"/>
  <c r="AD23" i="16"/>
  <c r="R11" i="16" s="1"/>
  <c r="AA21" i="16"/>
  <c r="O7" i="16" s="1"/>
  <c r="AB22" i="16"/>
  <c r="P9" i="16" s="1"/>
  <c r="AC23" i="16"/>
  <c r="Q11" i="16" s="1"/>
  <c r="AH24" i="17"/>
  <c r="V13" i="17" s="1"/>
  <c r="AH24" i="12"/>
  <c r="V13" i="12" s="1"/>
  <c r="AE21" i="13"/>
  <c r="S7" i="13" s="1"/>
  <c r="AH24" i="13"/>
  <c r="V13" i="13" s="1"/>
  <c r="AA21" i="12"/>
  <c r="O7" i="12" s="1"/>
  <c r="AE21" i="12"/>
  <c r="S7" i="12" s="1"/>
  <c r="AD22" i="12"/>
  <c r="R9" i="12" s="1"/>
  <c r="AF22" i="18"/>
  <c r="T9" i="18" s="1"/>
  <c r="AB22" i="18"/>
  <c r="P9" i="18" s="1"/>
  <c r="AA22" i="18"/>
  <c r="O9" i="18" s="1"/>
  <c r="AE22" i="18"/>
  <c r="S9" i="18" s="1"/>
  <c r="AG22" i="18"/>
  <c r="U9" i="18" s="1"/>
  <c r="AH24" i="18"/>
  <c r="V13" i="18" s="1"/>
  <c r="AC22" i="18"/>
  <c r="Q9" i="18" s="1"/>
  <c r="AH22" i="18"/>
  <c r="V9" i="18" s="1"/>
  <c r="AB21" i="18"/>
  <c r="P7" i="18" s="1"/>
  <c r="AD21" i="18"/>
  <c r="R7" i="18" s="1"/>
  <c r="AA21" i="18"/>
  <c r="O7" i="18" s="1"/>
  <c r="AE21" i="18"/>
  <c r="S7" i="18" s="1"/>
  <c r="AD22" i="18"/>
  <c r="R9" i="18" s="1"/>
  <c r="AF21" i="18"/>
  <c r="T7" i="18" s="1"/>
  <c r="AH21" i="18"/>
  <c r="V7" i="18" s="1"/>
  <c r="AC21" i="18"/>
  <c r="Q7" i="18" s="1"/>
  <c r="AG21" i="18"/>
  <c r="U7" i="18" s="1"/>
  <c r="AC22" i="17"/>
  <c r="Q9" i="17" s="1"/>
  <c r="AG22" i="17"/>
  <c r="U9" i="17" s="1"/>
  <c r="AD23" i="17"/>
  <c r="R11" i="17" s="1"/>
  <c r="AC23" i="17"/>
  <c r="Q11" i="17" s="1"/>
  <c r="AE23" i="17"/>
  <c r="S11" i="17" s="1"/>
  <c r="AH23" i="17"/>
  <c r="V11" i="17" s="1"/>
  <c r="Z24" i="17"/>
  <c r="N13" i="17" s="1"/>
  <c r="AF24" i="17"/>
  <c r="T13" i="17" s="1"/>
  <c r="AD24" i="17"/>
  <c r="R13" i="17" s="1"/>
  <c r="AG24" i="17"/>
  <c r="U13" i="17" s="1"/>
  <c r="AB23" i="17"/>
  <c r="P11" i="17" s="1"/>
  <c r="AF23" i="17"/>
  <c r="T11" i="17" s="1"/>
  <c r="AA24" i="17"/>
  <c r="O13" i="17" s="1"/>
  <c r="AE24" i="17"/>
  <c r="S13" i="17" s="1"/>
  <c r="AD22" i="16"/>
  <c r="R9" i="16" s="1"/>
  <c r="AF24" i="16"/>
  <c r="T13" i="16" s="1"/>
  <c r="AG23" i="16"/>
  <c r="U11" i="16" s="1"/>
  <c r="AD21" i="16"/>
  <c r="R7" i="16" s="1"/>
  <c r="AB23" i="16"/>
  <c r="P11" i="16" s="1"/>
  <c r="AA24" i="16"/>
  <c r="O13" i="16" s="1"/>
  <c r="AB21" i="16"/>
  <c r="P7" i="16" s="1"/>
  <c r="AH23" i="16"/>
  <c r="V11" i="16" s="1"/>
  <c r="AG24" i="16"/>
  <c r="U13" i="16" s="1"/>
  <c r="AC21" i="16"/>
  <c r="Q7" i="16" s="1"/>
  <c r="AG21" i="16"/>
  <c r="U7" i="16" s="1"/>
  <c r="AA23" i="16"/>
  <c r="O11" i="16" s="1"/>
  <c r="AE23" i="16"/>
  <c r="S11" i="16" s="1"/>
  <c r="AB24" i="16"/>
  <c r="P13" i="16" s="1"/>
  <c r="Z24" i="16"/>
  <c r="N13" i="16" s="1"/>
  <c r="AH24" i="16"/>
  <c r="V13" i="16" s="1"/>
  <c r="AD24" i="16"/>
  <c r="R13" i="16" s="1"/>
  <c r="U9" i="14"/>
  <c r="AA23" i="13"/>
  <c r="O11" i="13" s="1"/>
  <c r="AE23" i="13"/>
  <c r="S11" i="13" s="1"/>
  <c r="AB22" i="12"/>
  <c r="P9" i="12" s="1"/>
  <c r="AF22" i="12"/>
  <c r="T9" i="12" s="1"/>
  <c r="AA23" i="12"/>
  <c r="O11" i="12" s="1"/>
  <c r="AC23" i="12"/>
  <c r="Q11" i="12" s="1"/>
  <c r="AD24" i="13"/>
  <c r="R13" i="13" s="1"/>
  <c r="AC24" i="13"/>
  <c r="Q13" i="13" s="1"/>
  <c r="AA24" i="13"/>
  <c r="O13" i="13" s="1"/>
  <c r="Z24" i="13"/>
  <c r="N13" i="13" s="1"/>
  <c r="AF24" i="13"/>
  <c r="T13" i="13" s="1"/>
  <c r="AA22" i="13"/>
  <c r="O9" i="13" s="1"/>
  <c r="AH23" i="13"/>
  <c r="V11" i="13" s="1"/>
  <c r="AG22" i="13"/>
  <c r="U9" i="13" s="1"/>
  <c r="AF23" i="13"/>
  <c r="T11" i="13" s="1"/>
  <c r="AE24" i="13"/>
  <c r="S13" i="13" s="1"/>
  <c r="AD22" i="13"/>
  <c r="R9" i="13" s="1"/>
  <c r="AH22" i="13"/>
  <c r="V9" i="13" s="1"/>
  <c r="AC23" i="13"/>
  <c r="Q11" i="13" s="1"/>
  <c r="AG23" i="13"/>
  <c r="U11" i="13" s="1"/>
  <c r="AB24" i="13"/>
  <c r="P13" i="13" s="1"/>
  <c r="AE23" i="12"/>
  <c r="S11" i="12" s="1"/>
  <c r="AG23" i="12"/>
  <c r="U11" i="12" s="1"/>
  <c r="Z24" i="12"/>
  <c r="N13" i="12" s="1"/>
  <c r="AB24" i="12"/>
  <c r="P13" i="12" s="1"/>
  <c r="AF24" i="12"/>
  <c r="T13" i="12" s="1"/>
  <c r="AD24" i="12"/>
  <c r="R13" i="12" s="1"/>
  <c r="AD23" i="18"/>
  <c r="R11" i="18" s="1"/>
  <c r="AG24" i="18"/>
  <c r="U13" i="18" s="1"/>
  <c r="AB23" i="18"/>
  <c r="P11" i="18" s="1"/>
  <c r="AA24" i="18"/>
  <c r="O13" i="18" s="1"/>
  <c r="AC23" i="18"/>
  <c r="Q11" i="18" s="1"/>
  <c r="AG23" i="18"/>
  <c r="U11" i="18" s="1"/>
  <c r="AB24" i="18"/>
  <c r="P13" i="18" s="1"/>
  <c r="AF24" i="18"/>
  <c r="T13" i="18" s="1"/>
  <c r="AC24" i="18"/>
  <c r="Q13" i="18" s="1"/>
  <c r="AH23" i="18"/>
  <c r="V11" i="18" s="1"/>
  <c r="AF23" i="18"/>
  <c r="T11" i="18" s="1"/>
  <c r="AE24" i="18"/>
  <c r="S13" i="18" s="1"/>
  <c r="AA23" i="18"/>
  <c r="O11" i="18" s="1"/>
  <c r="AE23" i="18"/>
  <c r="S11" i="18" s="1"/>
  <c r="Z24" i="18"/>
  <c r="N13" i="18" s="1"/>
  <c r="AD24" i="18"/>
  <c r="R13" i="18" s="1"/>
  <c r="AS16" i="1"/>
  <c r="AS18" i="1"/>
  <c r="AS17" i="1"/>
  <c r="AS19" i="1"/>
  <c r="Z21" i="1" l="1"/>
  <c r="Z22" i="1"/>
  <c r="N9" i="1" s="1"/>
  <c r="S17" i="1" s="1"/>
  <c r="Z23" i="1"/>
  <c r="N11" i="1" s="1"/>
  <c r="N7" i="13"/>
  <c r="S16" i="13" s="1"/>
  <c r="V17" i="13" s="1"/>
  <c r="V16" i="15"/>
  <c r="V17" i="15"/>
  <c r="V17" i="18"/>
  <c r="V16" i="17"/>
  <c r="C29" i="9"/>
  <c r="D53" i="20" s="1"/>
  <c r="V17" i="16"/>
  <c r="V17" i="17"/>
  <c r="V16" i="14"/>
  <c r="V16" i="18"/>
  <c r="V16" i="16"/>
  <c r="V17" i="14"/>
  <c r="V17" i="12"/>
  <c r="AA5" i="9"/>
  <c r="D54" i="20" s="1"/>
  <c r="V16" i="12"/>
  <c r="C26" i="9"/>
  <c r="F52" i="20" s="1"/>
  <c r="AA29" i="9"/>
  <c r="D57" i="20" s="1"/>
  <c r="C18" i="9"/>
  <c r="F51" i="20" s="1"/>
  <c r="AA18" i="9"/>
  <c r="F55" i="20" s="1"/>
  <c r="C10" i="9"/>
  <c r="F50" i="20" s="1"/>
  <c r="C34" i="9"/>
  <c r="F53" i="20" s="1"/>
  <c r="AA13" i="9"/>
  <c r="D55" i="20" s="1"/>
  <c r="AH21" i="1"/>
  <c r="V7" i="1" s="1"/>
  <c r="AG21" i="1"/>
  <c r="U7" i="1" s="1"/>
  <c r="AF23" i="1"/>
  <c r="T11" i="1" s="1"/>
  <c r="AE21" i="1"/>
  <c r="S7" i="1" s="1"/>
  <c r="AD21" i="1"/>
  <c r="R7" i="1" s="1"/>
  <c r="AC21" i="1"/>
  <c r="Q7" i="1" s="1"/>
  <c r="AB21" i="1"/>
  <c r="P7" i="1" s="1"/>
  <c r="AG22" i="1"/>
  <c r="U9" i="1" s="1"/>
  <c r="AE22" i="1"/>
  <c r="S9" i="1" s="1"/>
  <c r="AC22" i="1"/>
  <c r="Q9" i="1" s="1"/>
  <c r="AA22" i="1"/>
  <c r="O9" i="1" s="1"/>
  <c r="AH23" i="1"/>
  <c r="V11" i="1" s="1"/>
  <c r="AG23" i="1"/>
  <c r="U11" i="1" s="1"/>
  <c r="AF22" i="1"/>
  <c r="T9" i="1" s="1"/>
  <c r="AE23" i="1"/>
  <c r="S11" i="1" s="1"/>
  <c r="AD23" i="1"/>
  <c r="R11" i="1" s="1"/>
  <c r="AC23" i="1"/>
  <c r="Q11" i="1" s="1"/>
  <c r="AB23" i="1"/>
  <c r="P11" i="1" s="1"/>
  <c r="AA23" i="1"/>
  <c r="O11" i="1" s="1"/>
  <c r="AH24" i="1"/>
  <c r="V13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AA21" i="1"/>
  <c r="O7" i="1" s="1"/>
  <c r="AH22" i="1"/>
  <c r="V9" i="1" s="1"/>
  <c r="AF21" i="1"/>
  <c r="T7" i="1" s="1"/>
  <c r="AD22" i="1"/>
  <c r="R9" i="1" s="1"/>
  <c r="AB22" i="1"/>
  <c r="P9" i="1" s="1"/>
  <c r="L21" i="18" l="1"/>
  <c r="B11" i="10" s="1"/>
  <c r="L21" i="15"/>
  <c r="B8" i="10" s="1"/>
  <c r="L21" i="14"/>
  <c r="B7" i="10" s="1"/>
  <c r="N7" i="1"/>
  <c r="S16" i="1" s="1"/>
  <c r="V16" i="13"/>
  <c r="L21" i="13" s="1"/>
  <c r="B6" i="10" s="1"/>
  <c r="C13" i="9"/>
  <c r="D51" i="20" s="1"/>
  <c r="L21" i="17"/>
  <c r="B10" i="10" s="1"/>
  <c r="L21" i="16"/>
  <c r="B9" i="10" s="1"/>
  <c r="L21" i="12"/>
  <c r="B5" i="10" s="1"/>
  <c r="AA10" i="9"/>
  <c r="F54" i="20" s="1"/>
  <c r="V17" i="1" l="1"/>
  <c r="V16" i="1"/>
  <c r="C5" i="9"/>
  <c r="D50" i="20" s="1"/>
  <c r="I12" i="9"/>
  <c r="J11" i="9" s="1"/>
  <c r="F8" i="9" l="1"/>
  <c r="G7" i="9" s="1"/>
  <c r="F4" i="10" s="1"/>
  <c r="L33" i="9"/>
  <c r="O7" i="9" l="1"/>
  <c r="E4" i="10" s="1"/>
  <c r="E12" i="10" s="1"/>
  <c r="F12" i="10"/>
  <c r="L6" i="1" l="1"/>
  <c r="D4" i="10" s="1"/>
  <c r="D12" i="10" s="1"/>
  <c r="E17" i="10" s="1"/>
  <c r="K6" i="1" l="1"/>
  <c r="C4" i="10" l="1"/>
  <c r="C12" i="10" s="1"/>
  <c r="C17" i="10" s="1"/>
  <c r="M6" i="1"/>
  <c r="L21" i="1" s="1"/>
  <c r="B4" i="10" s="1"/>
  <c r="B12" i="10" s="1"/>
  <c r="A17" i="10" s="1"/>
</calcChain>
</file>

<file path=xl/comments1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<sst xmlns="http://schemas.openxmlformats.org/spreadsheetml/2006/main" count="1089" uniqueCount="248">
  <si>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</si>
  <si>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</si>
  <si>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</si>
  <si>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</si>
  <si>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</si>
  <si>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</si>
  <si>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</si>
  <si>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</si>
  <si>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</si>
  <si>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</si>
  <si>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</si>
  <si>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</si>
  <si>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</si>
  <si>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</si>
  <si>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</si>
  <si>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</si>
  <si>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</si>
  <si>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</si>
  <si>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</si>
  <si>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</si>
  <si>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</si>
  <si>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</si>
  <si>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</si>
  <si>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</si>
  <si>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</si>
  <si>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</si>
  <si>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</si>
  <si>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</si>
  <si>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</si>
  <si>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</si>
  <si>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</si>
  <si>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</si>
  <si>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</si>
  <si>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</si>
  <si>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</si>
  <si>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</si>
  <si>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</si>
  <si>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</si>
  <si>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</si>
  <si>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</si>
  <si>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</si>
  <si>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</si>
  <si>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</si>
  <si>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</si>
  <si>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</si>
  <si>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</si>
  <si>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</si>
  <si>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</si>
  <si>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</si>
  <si>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</si>
  <si>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</si>
  <si>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</si>
  <si>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</si>
  <si>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</si>
  <si>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</si>
  <si>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</si>
  <si>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</si>
  <si>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</si>
  <si>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</si>
  <si>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</si>
  <si>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</si>
  <si>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</si>
  <si>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</si>
  <si>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</si>
  <si>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</si>
  <si>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</si>
  <si>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</si>
  <si>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</si>
  <si>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</si>
  <si>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</si>
  <si>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</si>
  <si>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</si>
  <si>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</si>
  <si>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</si>
  <si>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</si>
  <si>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</si>
  <si>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</si>
  <si>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</si>
  <si>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</si>
  <si>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</si>
  <si>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</si>
  <si>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</si>
  <si>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</si>
  <si>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</si>
  <si>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</si>
  <si>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</si>
  <si>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</si>
  <si>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</si>
  <si>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</si>
  <si>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</si>
  <si>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</si>
  <si>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</si>
  <si>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</si>
  <si>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</si>
  <si>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</si>
  <si>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</si>
  <si>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</si>
  <si>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</si>
  <si>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</si>
  <si>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</si>
  <si>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</si>
  <si>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</si>
  <si>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</si>
  <si>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</si>
  <si>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</si>
  <si>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</si>
  <si>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</si>
  <si>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</si>
  <si>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</si>
  <si>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</si>
  <si>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</si>
  <si>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</si>
  <si>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</si>
  <si>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</si>
  <si>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</si>
  <si>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</si>
  <si>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</si>
  <si>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</si>
  <si>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</si>
  <si>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</si>
  <si>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</si>
  <si>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</si>
  <si>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</si>
  <si>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</si>
  <si>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</si>
  <si>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</si>
  <si>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</si>
  <si>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</si>
  <si>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</si>
  <si>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</si>
  <si>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</si>
  <si>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</si>
  <si>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</si>
  <si>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</si>
  <si>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</si>
  <si>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</si>
  <si>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</si>
  <si>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</si>
  <si>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</si>
  <si>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</si>
  <si>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</si>
  <si>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</si>
  <si>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</si>
  <si>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</si>
  <si>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</si>
  <si>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</si>
  <si>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</si>
  <si>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</si>
  <si>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</si>
  <si>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</si>
  <si>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</si>
  <si>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</si>
  <si>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</si>
  <si>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</si>
  <si>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</si>
  <si>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</si>
  <si>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</si>
  <si>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</si>
  <si>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</si>
  <si>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</si>
  <si>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</si>
  <si>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</si>
  <si>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</si>
  <si>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</si>
  <si>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</si>
  <si>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</si>
  <si>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</si>
  <si>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</si>
  <si>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</si>
  <si>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</si>
  <si>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</si>
  <si>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</si>
  <si>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</si>
  <si>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</si>
  <si>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</si>
  <si>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</si>
  <si>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</si>
  <si>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</si>
  <si>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</si>
  <si>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</si>
  <si>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</si>
  <si>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</si>
  <si>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</si>
  <si>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</si>
  <si>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</si>
  <si>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</si>
  <si>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</si>
  <si>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</si>
  <si>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</si>
  <si>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</si>
  <si>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</si>
  <si>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</si>
  <si>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</si>
  <si>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</si>
  <si>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</si>
  <si>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</si>
  <si>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</si>
  <si>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</si>
  <si>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</si>
  <si>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</si>
  <si>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</si>
  <si>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</si>
  <si>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</si>
  <si>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</si>
  <si>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</si>
  <si>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</si>
  <si>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</si>
  <si>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</si>
  <si>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</si>
  <si>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</si>
  <si>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</si>
  <si>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</si>
  <si>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</si>
  <si>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</si>
  <si>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</si>
  <si>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</si>
  <si>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</si>
  <si>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</si>
  <si>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</si>
  <si>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</si>
  <si>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</si>
  <si>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</si>
  <si>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</si>
  <si>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</si>
  <si>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</si>
  <si>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</si>
  <si>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PARTIDO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</si>
  <si>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</si>
  <si>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</si>
  <si>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</si>
  <si>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</si>
  <si>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</si>
  <si>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</si>
  <si>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</si>
  <si>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</si>
  <si>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</si>
  <si>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</si>
  <si>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</si>
  <si>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</si>
  <si>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</si>
  <si>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</si>
  <si>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</si>
  <si>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</si>
  <si>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</si>
  <si>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COD</t>
  </si>
  <si>
    <t>GOLEADOR</t>
  </si>
  <si>
    <t>Lionel Messi</t>
  </si>
  <si>
    <t>Mbappe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</si>
</sst>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6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1" xfId="0" applyNumberFormat="1" applyFont="1" applyFill="1" applyBorder="1" applyAlignment="1" applyProtection="1">
      <alignment horizontal="center"/>
      <protection hidden="1"/>
    </xf>
    <xf numFmtId="20" fontId="1" fillId="40" borderId="82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8" fillId="12" borderId="44" xfId="1" applyFont="1" applyFill="1" applyBorder="1" applyAlignment="1" applyProtection="1">
      <alignment horizontal="center" vertical="center"/>
      <protection hidden="1"/>
    </xf>
    <xf numFmtId="0" fontId="28" fillId="30" borderId="44" xfId="1" applyFont="1" applyFill="1" applyBorder="1" applyAlignment="1" applyProtection="1">
      <alignment horizontal="center" vertical="center"/>
      <protection hidden="1"/>
    </xf>
    <xf numFmtId="0" fontId="28" fillId="27" borderId="44" xfId="1" applyFont="1" applyFill="1" applyBorder="1" applyAlignment="1" applyProtection="1">
      <alignment horizontal="center" vertical="center"/>
      <protection hidden="1"/>
    </xf>
    <xf numFmtId="0" fontId="28" fillId="23" borderId="44" xfId="1" applyFont="1" applyFill="1" applyBorder="1" applyAlignment="1" applyProtection="1">
      <alignment horizontal="center" vertical="center"/>
      <protection hidden="1"/>
    </xf>
    <xf numFmtId="0" fontId="4" fillId="22" borderId="44" xfId="1" applyFont="1" applyFill="1" applyBorder="1" applyAlignment="1" applyProtection="1">
      <alignment horizontal="center" vertical="center"/>
      <protection hidden="1"/>
    </xf>
    <xf numFmtId="0" fontId="28" fillId="19" borderId="44" xfId="1" applyFont="1" applyFill="1" applyBorder="1" applyAlignment="1" applyProtection="1">
      <alignment horizontal="center" vertical="center"/>
      <protection hidden="1"/>
    </xf>
    <xf numFmtId="0" fontId="28" fillId="16" borderId="44" xfId="1" applyFont="1" applyFill="1" applyBorder="1" applyAlignment="1" applyProtection="1">
      <alignment horizontal="center" vertical="center"/>
      <protection hidden="1"/>
    </xf>
    <xf numFmtId="0" fontId="28" fillId="3" borderId="44" xfId="1" applyFont="1" applyFill="1" applyBorder="1" applyAlignment="1" applyProtection="1">
      <alignment horizontal="center" vertical="center"/>
      <protection hidden="1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1" fillId="6" borderId="24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1" fillId="6" borderId="83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8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83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8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1" fillId="21" borderId="35" xfId="0" applyFont="1" applyFill="1" applyBorder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83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1" fillId="24" borderId="35" xfId="0" applyFont="1" applyFill="1" applyBorder="1" applyAlignment="1">
      <alignment horizontal="center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83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1" fillId="26" borderId="35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8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1" fillId="29" borderId="35" xfId="0" applyFont="1" applyFill="1" applyBorder="1" applyAlignment="1">
      <alignment horizontal="center" vertical="center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83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0" xfId="0" applyFont="1" applyFill="1" applyBorder="1" applyAlignment="1" applyProtection="1">
      <alignment horizontal="center"/>
      <protection hidden="1"/>
    </xf>
    <xf numFmtId="0" fontId="8" fillId="40" borderId="0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22" fillId="2" borderId="2" xfId="1" applyFont="1" applyFill="1" applyBorder="1" applyAlignment="1" applyProtection="1">
      <alignment horizontal="center" vertical="center"/>
      <protection hidden="1"/>
    </xf>
    <xf numFmtId="0" fontId="22" fillId="2" borderId="7" xfId="1" applyFont="1" applyFill="1" applyBorder="1" applyAlignment="1" applyProtection="1">
      <alignment horizontal="center" vertical="center"/>
      <protection hidden="1"/>
    </xf>
    <xf numFmtId="0" fontId="0" fillId="2" borderId="2" xfId="0" applyFont="1" applyFill="1" applyBorder="1" applyAlignment="1" applyProtection="1">
      <alignment horizontal="center" vertical="center"/>
      <protection hidden="1"/>
    </xf>
    <xf numFmtId="0" fontId="0" fillId="2" borderId="7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center" vertical="center"/>
      <protection hidden="1"/>
    </xf>
    <xf numFmtId="0" fontId="0" fillId="0" borderId="2" xfId="0" applyFont="1" applyBorder="1" applyAlignment="1" applyProtection="1">
      <alignment horizontal="center"/>
      <protection hidden="1"/>
    </xf>
    <xf numFmtId="0" fontId="0" fillId="36" borderId="2" xfId="0" applyFont="1" applyFill="1" applyBorder="1" applyAlignment="1" applyProtection="1">
      <alignment horizontal="center"/>
      <protection hidden="1"/>
    </xf>
    <xf numFmtId="0" fontId="0" fillId="36" borderId="4" xfId="0" applyFont="1" applyFill="1" applyBorder="1" applyAlignment="1" applyProtection="1">
      <alignment horizontal="center" vertical="center"/>
      <protection hidden="1"/>
    </xf>
    <xf numFmtId="0" fontId="0" fillId="0" borderId="67" xfId="0" applyFont="1" applyBorder="1" applyAlignment="1" applyProtection="1">
      <alignment horizontal="center"/>
      <protection hidden="1"/>
    </xf>
    <xf numFmtId="0" fontId="5" fillId="39" borderId="17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5" fillId="39" borderId="1" xfId="0" applyFont="1" applyFill="1" applyBorder="1" applyAlignment="1">
      <alignment horizontal="center" vertical="center" wrapText="1"/>
    </xf>
    <xf numFmtId="0" fontId="5" fillId="39" borderId="4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locked="0"/>
    </xf>
    <xf numFmtId="0" fontId="6" fillId="32" borderId="5" xfId="0" applyFont="1" applyFill="1" applyBorder="1" applyAlignment="1" applyProtection="1">
      <alignment horizontal="center" vertical="center"/>
      <protection locked="0"/>
    </xf>
    <xf numFmtId="0" fontId="5" fillId="39" borderId="20" xfId="0" applyFont="1" applyFill="1" applyBorder="1" applyAlignment="1">
      <alignment horizontal="center" vertical="center" wrapText="1"/>
    </xf>
    <xf numFmtId="0" fontId="5" fillId="39" borderId="8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</cellXfs>
  <cellStyles count="3">
    <cellStyle name="Hipervínculo" xfId="2" builtinId="8"/>
    <cellStyle name="Normal" xfId="0" builtinId="0"/>
    <cellStyle name="Normal 2" xfId="1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175260</xdr:rowOff>
    </xdr:from>
    <xdr:to>
      <xdr:col>18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17</xdr:row>
      <xdr:rowOff>22860</xdr:rowOff>
    </xdr:from>
    <xdr:to>
      <xdr:col>8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xmlns="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47154</xdr:colOff>
      <xdr:row>18</xdr:row>
      <xdr:rowOff>13241</xdr:rowOff>
    </xdr:from>
    <xdr:to>
      <xdr:col>17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xmlns="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175260</xdr:rowOff>
    </xdr:from>
    <xdr:to>
      <xdr:col>8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17</xdr:row>
      <xdr:rowOff>121920</xdr:rowOff>
    </xdr:from>
    <xdr:to>
      <xdr:col>17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16</xdr:row>
      <xdr:rowOff>167640</xdr:rowOff>
    </xdr:from>
    <xdr:to>
      <xdr:col>7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18</xdr:row>
      <xdr:rowOff>15240</xdr:rowOff>
    </xdr:from>
    <xdr:to>
      <xdr:col>17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17</xdr:row>
      <xdr:rowOff>15240</xdr:rowOff>
    </xdr:from>
    <xdr:to>
      <xdr:col>7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17</xdr:row>
      <xdr:rowOff>144780</xdr:rowOff>
    </xdr:from>
    <xdr:to>
      <xdr:col>17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17</xdr:row>
      <xdr:rowOff>0</xdr:rowOff>
    </xdr:from>
    <xdr:to>
      <xdr:col>7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17</xdr:row>
      <xdr:rowOff>167640</xdr:rowOff>
    </xdr:from>
    <xdr:to>
      <xdr:col>17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167640</xdr:rowOff>
    </xdr:from>
    <xdr:to>
      <xdr:col>18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18</xdr:row>
      <xdr:rowOff>0</xdr:rowOff>
    </xdr:from>
    <xdr:to>
      <xdr:col>18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xmlns="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16</xdr:row>
      <xdr:rowOff>175260</xdr:rowOff>
    </xdr:from>
    <xdr:to>
      <xdr:col>8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:a16="http://schemas.microsoft.com/office/drawing/2014/main" xmlns="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:a16="http://schemas.microsoft.com/office/drawing/2014/main" xmlns="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la%20Qatar%20202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definedNames>
      <definedName name="CargarDatos"/>
    </definedNames>
    <sheetDataSet>
      <sheetData sheetId="0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Cuadro Final"/>
      <sheetName val="Goleador"/>
      <sheetName val="Puntuación Total"/>
      <sheetName val="DB_PARTI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>
  <autoFilter ref="A1:I65"/>
  <tableColumns count="9">
    <tableColumn id="1" name="CODIGO" dataDxfId="2">
      <calculatedColumnFormula>CONCATENATE(B2,C2)</calculatedColumnFormula>
    </tableColumn>
    <tableColumn id="2" name="GRUPO" dataDxfId="1"/>
    <tableColumn id="3" name="PARTIDO" dataDxfId="0"/>
    <tableColumn id="4" name="LOCAL"/>
    <tableColumn id="5" name="GOLES_LOCAL"/>
    <tableColumn id="6" name="VISITANTE"/>
    <tableColumn id="7" name="GOLES_VISITANTE"/>
    <tableColumn id="8" name="GOLES_LOCAL_REAL">
      <calculatedColumnFormula>IF([2]!Tabla1[[#This Row],[GOLES_LOCAL_REAL]]="","",[2]!Tabla1[[#This Row],[GOLES_LOCAL_REAL]])</calculatedColumnFormula>
    </tableColumn>
    <tableColumn id="9" name="GOLES_VISITANTE_REAL">
      <calculatedColumnFormula>IF([2]!Tabla1[[#This Row],[GOLES_VISITANTE_REAL]]="","",[2]!Tabla1[[#This Row],[GOLES_VISITANTE_REAL]])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DIGO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E7" sqref="E7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16" t="s">
        <v>132</v>
      </c>
      <c r="C2" s="317"/>
    </row>
    <row r="3" spans="2:3" ht="15" customHeight="1" x14ac:dyDescent="0.25">
      <c r="B3" s="322" t="s">
        <v>159</v>
      </c>
      <c r="C3" s="323"/>
    </row>
    <row r="4" spans="2:3" ht="17.25" customHeight="1" thickBot="1" x14ac:dyDescent="0.3">
      <c r="B4" s="324"/>
      <c r="C4" s="325"/>
    </row>
    <row r="5" spans="2:3" ht="16.5" thickBot="1" x14ac:dyDescent="0.3">
      <c r="B5" s="316" t="s">
        <v>113</v>
      </c>
      <c r="C5" s="317"/>
    </row>
    <row r="6" spans="2:3" x14ac:dyDescent="0.25">
      <c r="B6" s="326" t="s">
        <v>126</v>
      </c>
      <c r="C6" s="327"/>
    </row>
    <row r="7" spans="2:3" ht="15" customHeight="1" x14ac:dyDescent="0.25">
      <c r="B7" s="328" t="s">
        <v>161</v>
      </c>
      <c r="C7" s="329"/>
    </row>
    <row r="8" spans="2:3" x14ac:dyDescent="0.25">
      <c r="B8" s="328"/>
      <c r="C8" s="329"/>
    </row>
    <row r="9" spans="2:3" ht="15" customHeight="1" x14ac:dyDescent="0.25">
      <c r="B9" s="330" t="s">
        <v>211</v>
      </c>
      <c r="C9" s="331"/>
    </row>
    <row r="10" spans="2:3" x14ac:dyDescent="0.25">
      <c r="B10" s="330"/>
      <c r="C10" s="331"/>
    </row>
    <row r="11" spans="2:3" ht="15" customHeight="1" x14ac:dyDescent="0.25">
      <c r="B11" s="330" t="s">
        <v>128</v>
      </c>
      <c r="C11" s="331"/>
    </row>
    <row r="12" spans="2:3" ht="15" customHeight="1" x14ac:dyDescent="0.25">
      <c r="B12" s="332" t="s">
        <v>162</v>
      </c>
      <c r="C12" s="333"/>
    </row>
    <row r="13" spans="2:3" ht="15" customHeight="1" x14ac:dyDescent="0.25">
      <c r="B13" s="334" t="s">
        <v>163</v>
      </c>
      <c r="C13" s="335"/>
    </row>
    <row r="14" spans="2:3" ht="15" customHeight="1" x14ac:dyDescent="0.25">
      <c r="B14" s="332" t="s">
        <v>164</v>
      </c>
      <c r="C14" s="333"/>
    </row>
    <row r="15" spans="2:3" ht="15" customHeight="1" x14ac:dyDescent="0.25">
      <c r="B15" s="334" t="s">
        <v>165</v>
      </c>
      <c r="C15" s="335"/>
    </row>
    <row r="16" spans="2:3" ht="15" customHeight="1" x14ac:dyDescent="0.25">
      <c r="B16" s="338" t="s">
        <v>166</v>
      </c>
      <c r="C16" s="339"/>
    </row>
    <row r="17" spans="2:4" ht="15" customHeight="1" x14ac:dyDescent="0.25">
      <c r="B17" s="338" t="s">
        <v>167</v>
      </c>
      <c r="C17" s="339"/>
    </row>
    <row r="18" spans="2:4" x14ac:dyDescent="0.25">
      <c r="B18" s="336" t="s">
        <v>168</v>
      </c>
      <c r="C18" s="337"/>
    </row>
    <row r="19" spans="2:4" ht="16.5" thickBot="1" x14ac:dyDescent="0.3">
      <c r="B19" s="336"/>
      <c r="C19" s="337"/>
    </row>
    <row r="20" spans="2:4" ht="16.5" thickBot="1" x14ac:dyDescent="0.3">
      <c r="B20" s="316" t="s">
        <v>131</v>
      </c>
      <c r="C20" s="317"/>
    </row>
    <row r="21" spans="2:4" x14ac:dyDescent="0.25">
      <c r="B21" s="342" t="s">
        <v>169</v>
      </c>
      <c r="C21" s="343"/>
    </row>
    <row r="22" spans="2:4" ht="16.5" thickBot="1" x14ac:dyDescent="0.3">
      <c r="B22" s="344" t="s">
        <v>170</v>
      </c>
      <c r="C22" s="345"/>
    </row>
    <row r="23" spans="2:4" ht="15" customHeight="1" thickBot="1" x14ac:dyDescent="0.3">
      <c r="B23" s="316" t="s">
        <v>127</v>
      </c>
      <c r="C23" s="317"/>
    </row>
    <row r="24" spans="2:4" x14ac:dyDescent="0.25">
      <c r="B24" s="340" t="s">
        <v>129</v>
      </c>
      <c r="C24" s="341"/>
    </row>
    <row r="25" spans="2:4" ht="15" customHeight="1" x14ac:dyDescent="0.25">
      <c r="B25" s="348" t="s">
        <v>124</v>
      </c>
      <c r="C25" s="349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48" t="s">
        <v>125</v>
      </c>
      <c r="C30" s="349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48" t="s">
        <v>145</v>
      </c>
      <c r="C36" s="349"/>
    </row>
    <row r="37" spans="2:4" ht="16.5" thickBot="1" x14ac:dyDescent="0.3">
      <c r="B37" s="354" t="s">
        <v>160</v>
      </c>
      <c r="C37" s="355"/>
      <c r="D37" s="39">
        <v>10</v>
      </c>
    </row>
    <row r="38" spans="2:4" ht="15" customHeight="1" thickBot="1" x14ac:dyDescent="0.3">
      <c r="B38" s="316" t="s">
        <v>114</v>
      </c>
      <c r="C38" s="317"/>
    </row>
    <row r="39" spans="2:4" x14ac:dyDescent="0.25">
      <c r="B39" s="350" t="s">
        <v>133</v>
      </c>
      <c r="C39" s="351"/>
    </row>
    <row r="40" spans="2:4" x14ac:dyDescent="0.25">
      <c r="B40" s="352"/>
      <c r="C40" s="353"/>
    </row>
    <row r="41" spans="2:4" x14ac:dyDescent="0.25">
      <c r="B41" s="358" t="s">
        <v>174</v>
      </c>
      <c r="C41" s="359"/>
    </row>
    <row r="42" spans="2:4" x14ac:dyDescent="0.25">
      <c r="B42" s="360" t="s">
        <v>175</v>
      </c>
      <c r="C42" s="361"/>
    </row>
    <row r="43" spans="2:4" x14ac:dyDescent="0.25">
      <c r="B43" s="362" t="s">
        <v>176</v>
      </c>
      <c r="C43" s="363"/>
    </row>
    <row r="44" spans="2:4" ht="16.5" thickBot="1" x14ac:dyDescent="0.3">
      <c r="B44" s="356" t="s">
        <v>177</v>
      </c>
      <c r="C44" s="357"/>
    </row>
    <row r="45" spans="2:4" ht="15" customHeight="1" thickBot="1" x14ac:dyDescent="0.3">
      <c r="B45" s="316" t="s">
        <v>136</v>
      </c>
      <c r="C45" s="317"/>
    </row>
    <row r="46" spans="2:4" x14ac:dyDescent="0.25">
      <c r="B46" s="322" t="s">
        <v>134</v>
      </c>
      <c r="C46" s="323"/>
    </row>
    <row r="47" spans="2:4" ht="15" customHeight="1" x14ac:dyDescent="0.25">
      <c r="B47" s="364"/>
      <c r="C47" s="365"/>
    </row>
    <row r="48" spans="2:4" x14ac:dyDescent="0.25">
      <c r="B48" s="336" t="s">
        <v>178</v>
      </c>
      <c r="C48" s="337"/>
    </row>
    <row r="49" spans="2:3" ht="16.5" thickBot="1" x14ac:dyDescent="0.3">
      <c r="B49" s="324"/>
      <c r="C49" s="325"/>
    </row>
    <row r="50" spans="2:3" ht="15" customHeight="1" thickBot="1" x14ac:dyDescent="0.3">
      <c r="B50" s="316" t="s">
        <v>135</v>
      </c>
      <c r="C50" s="317"/>
    </row>
    <row r="51" spans="2:3" x14ac:dyDescent="0.25">
      <c r="B51" s="318" t="s">
        <v>137</v>
      </c>
      <c r="C51" s="319"/>
    </row>
    <row r="52" spans="2:3" x14ac:dyDescent="0.25">
      <c r="B52" s="320"/>
      <c r="C52" s="321"/>
    </row>
    <row r="53" spans="2:3" x14ac:dyDescent="0.25">
      <c r="B53" s="346" t="s">
        <v>181</v>
      </c>
      <c r="C53" s="347"/>
    </row>
    <row r="54" spans="2:3" x14ac:dyDescent="0.25">
      <c r="B54" s="346" t="s">
        <v>179</v>
      </c>
      <c r="C54" s="347"/>
    </row>
    <row r="55" spans="2:3" x14ac:dyDescent="0.25">
      <c r="B55" s="346" t="s">
        <v>180</v>
      </c>
      <c r="C55" s="347"/>
    </row>
  </sheetData>
  <sheetProtection algorithmName="SHA-512" hashValue="CLqXBdf9E8J9ldBlFbi7rF/AC0fAHV/VQhOSsxgPhSYGh6C1rE5J++tSZgOvACFbi3VKxh/oRUW3crkjcpxP1Q==" saltValue="XZv/iNh80f+CI2u2XE1KqA==" spinCount="100000" sheet="1" objects="1" scenarios="1" selectLockedCells="1"/>
  <mergeCells count="37"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  <mergeCell ref="B24:C24"/>
    <mergeCell ref="B20:C20"/>
    <mergeCell ref="B21:C21"/>
    <mergeCell ref="B22:C22"/>
    <mergeCell ref="B23:C23"/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R19" sqref="R19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4" customFormat="1" x14ac:dyDescent="0.25">
      <c r="A2"/>
      <c r="B2" s="228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4" customFormat="1" ht="20.25" x14ac:dyDescent="0.35">
      <c r="A3"/>
      <c r="B3" s="229"/>
      <c r="C3" s="675" t="s">
        <v>29</v>
      </c>
      <c r="D3" s="675"/>
      <c r="E3" s="675"/>
      <c r="F3" s="669" t="s">
        <v>30</v>
      </c>
      <c r="G3" s="669"/>
      <c r="H3" s="669"/>
      <c r="I3" s="669" t="s">
        <v>31</v>
      </c>
      <c r="J3" s="669"/>
      <c r="K3" s="669"/>
      <c r="L3" s="669" t="s">
        <v>32</v>
      </c>
      <c r="M3" s="669"/>
      <c r="N3" s="669"/>
      <c r="O3" s="236" t="s">
        <v>33</v>
      </c>
      <c r="P3" s="669" t="s">
        <v>32</v>
      </c>
      <c r="Q3" s="669"/>
      <c r="R3" s="669"/>
      <c r="S3" s="669" t="s">
        <v>31</v>
      </c>
      <c r="T3" s="669"/>
      <c r="U3" s="669"/>
      <c r="V3" s="669" t="s">
        <v>30</v>
      </c>
      <c r="W3" s="669"/>
      <c r="X3" s="669"/>
      <c r="Y3" s="675" t="s">
        <v>29</v>
      </c>
      <c r="Z3" s="675"/>
      <c r="AA3" s="675"/>
      <c r="AB3" s="23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4" customFormat="1" ht="15.75" thickBot="1" x14ac:dyDescent="0.3">
      <c r="A4"/>
      <c r="B4" s="230"/>
      <c r="C4" s="238"/>
      <c r="D4" s="239" t="s">
        <v>50</v>
      </c>
      <c r="E4" s="239" t="s">
        <v>94</v>
      </c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40"/>
      <c r="Q4" s="240"/>
      <c r="R4" s="240"/>
      <c r="S4" s="227"/>
      <c r="T4" s="227"/>
      <c r="U4" s="227"/>
      <c r="V4" s="227"/>
      <c r="W4" s="227"/>
      <c r="X4" s="227"/>
      <c r="Y4" s="241" t="s">
        <v>50</v>
      </c>
      <c r="Z4" s="241" t="s">
        <v>94</v>
      </c>
      <c r="AA4" s="242"/>
      <c r="AB4" s="24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31" t="s">
        <v>51</v>
      </c>
      <c r="C5" s="149" t="str">
        <f>'Grupo A'!$S$16</f>
        <v>Qatar</v>
      </c>
      <c r="D5" s="12"/>
      <c r="E5" s="12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0"/>
      <c r="Q5" s="240"/>
      <c r="R5" s="240"/>
      <c r="S5" s="227"/>
      <c r="T5" s="227"/>
      <c r="U5" s="227"/>
      <c r="V5" s="227"/>
      <c r="W5" s="227"/>
      <c r="X5" s="227"/>
      <c r="Y5" s="11"/>
      <c r="Z5" s="12"/>
      <c r="AA5" s="145" t="str">
        <f>'Grupo B'!$S$16</f>
        <v>Inglaterra</v>
      </c>
      <c r="AB5" s="289" t="s">
        <v>42</v>
      </c>
    </row>
    <row r="6" spans="1:93" s="144" customFormat="1" ht="15.6" customHeight="1" thickBot="1" x14ac:dyDescent="0.3">
      <c r="A6"/>
      <c r="B6" s="230"/>
      <c r="C6" s="244"/>
      <c r="D6" s="238"/>
      <c r="E6" s="238"/>
      <c r="F6" s="267"/>
      <c r="G6" s="665" t="s">
        <v>95</v>
      </c>
      <c r="H6" s="665"/>
      <c r="I6" s="227"/>
      <c r="J6" s="227"/>
      <c r="K6" s="227"/>
      <c r="L6" s="227"/>
      <c r="M6" s="227"/>
      <c r="N6" s="227"/>
      <c r="O6" s="269" t="s">
        <v>97</v>
      </c>
      <c r="P6" s="240"/>
      <c r="Q6" s="240"/>
      <c r="R6" s="240"/>
      <c r="S6" s="227"/>
      <c r="T6" s="227"/>
      <c r="U6" s="227"/>
      <c r="V6" s="665" t="s">
        <v>95</v>
      </c>
      <c r="W6" s="665"/>
      <c r="X6" s="270"/>
      <c r="Y6" s="290"/>
      <c r="Z6" s="238"/>
      <c r="AA6" s="250"/>
      <c r="AB6" s="24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30"/>
      <c r="C7" s="245" t="s">
        <v>200</v>
      </c>
      <c r="D7" s="653" t="s">
        <v>96</v>
      </c>
      <c r="E7" s="664"/>
      <c r="F7" s="21"/>
      <c r="G7" s="667" t="str">
        <f>IF(F8="","",IF(F7=F8,'Reglas Polla'!D31,0))</f>
        <v/>
      </c>
      <c r="H7" s="668"/>
      <c r="I7" s="227"/>
      <c r="J7" s="227"/>
      <c r="K7" s="227"/>
      <c r="L7" s="227"/>
      <c r="M7" s="227"/>
      <c r="N7" s="227"/>
      <c r="O7" s="655">
        <f>SUM(V7,V15,V23,V31,S27,P19,S11,M19,G31,J27,G23,G15,G7,J11,P14,P27)</f>
        <v>0</v>
      </c>
      <c r="P7" s="240"/>
      <c r="Q7" s="240"/>
      <c r="R7" s="240"/>
      <c r="S7" s="227"/>
      <c r="T7" s="227"/>
      <c r="U7" s="227"/>
      <c r="V7" s="667" t="str">
        <f>IF(X8="","",IF(X7=X8,'Reglas Polla'!D31,0))</f>
        <v/>
      </c>
      <c r="W7" s="668"/>
      <c r="X7" s="19"/>
      <c r="Y7" s="653" t="s">
        <v>96</v>
      </c>
      <c r="Z7" s="653"/>
      <c r="AA7" s="274" t="s">
        <v>192</v>
      </c>
      <c r="AB7" s="243"/>
    </row>
    <row r="8" spans="1:93" ht="15.6" customHeight="1" thickBot="1" x14ac:dyDescent="0.3">
      <c r="B8" s="230"/>
      <c r="C8" s="246" t="s">
        <v>201</v>
      </c>
      <c r="D8" s="653" t="s">
        <v>8</v>
      </c>
      <c r="E8" s="664"/>
      <c r="F8" s="149" t="str">
        <f>IF(OR(D5="",D10=""),"",IF(D5&gt;D10,C5,IF(D10&gt;D5,C10,IF(OR(E5="",E10=""),"",IF(E5&gt;E10,C5,IF(E10&gt;E5,C10,""))))))</f>
        <v/>
      </c>
      <c r="G8" s="12"/>
      <c r="H8" s="12"/>
      <c r="I8" s="227"/>
      <c r="J8" s="227"/>
      <c r="K8" s="227"/>
      <c r="L8" s="227"/>
      <c r="M8" s="227"/>
      <c r="N8" s="227"/>
      <c r="O8" s="656"/>
      <c r="P8" s="240"/>
      <c r="Q8" s="240"/>
      <c r="R8" s="240"/>
      <c r="S8" s="227"/>
      <c r="T8" s="227"/>
      <c r="U8" s="227"/>
      <c r="V8" s="11"/>
      <c r="W8" s="12"/>
      <c r="X8" s="146" t="str">
        <f>IF(OR(Y5="",Y10=""),"",IF(Y5&gt;Y10,AA5,IF(Y10&gt;Y5,AA10,IF(OR(Z5="",Z10=""),"",IF(Z5&gt;Z10,AA5,IF(Z10&gt;Z5,AA10,""))))))</f>
        <v/>
      </c>
      <c r="Y8" s="653" t="s">
        <v>8</v>
      </c>
      <c r="Z8" s="653"/>
      <c r="AA8" s="246" t="s">
        <v>203</v>
      </c>
      <c r="AB8" s="243"/>
    </row>
    <row r="9" spans="1:93" s="144" customFormat="1" ht="15.6" customHeight="1" thickBot="1" x14ac:dyDescent="0.3">
      <c r="A9"/>
      <c r="B9" s="230"/>
      <c r="C9" s="247"/>
      <c r="D9" s="248"/>
      <c r="E9" s="249"/>
      <c r="F9" s="250"/>
      <c r="G9" s="241" t="s">
        <v>50</v>
      </c>
      <c r="H9" s="251" t="s">
        <v>94</v>
      </c>
      <c r="I9" s="227"/>
      <c r="J9" s="227"/>
      <c r="K9" s="227"/>
      <c r="L9" s="227"/>
      <c r="M9" s="227"/>
      <c r="N9" s="268"/>
      <c r="O9" s="294"/>
      <c r="P9" s="240"/>
      <c r="Q9" s="240"/>
      <c r="R9" s="240"/>
      <c r="S9" s="227"/>
      <c r="T9" s="227"/>
      <c r="U9" s="268"/>
      <c r="V9" s="241" t="s">
        <v>50</v>
      </c>
      <c r="W9" s="241" t="s">
        <v>94</v>
      </c>
      <c r="X9" s="250"/>
      <c r="Y9" s="291"/>
      <c r="Z9" s="259"/>
      <c r="AA9" s="257"/>
      <c r="AB9" s="243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31" t="s">
        <v>34</v>
      </c>
      <c r="C10" s="149" t="str">
        <f>'Grupo B'!$S$17</f>
        <v>Gales</v>
      </c>
      <c r="D10" s="12"/>
      <c r="E10" s="16"/>
      <c r="F10" s="252"/>
      <c r="G10" s="253"/>
      <c r="H10" s="254"/>
      <c r="I10" s="227"/>
      <c r="J10" s="665" t="s">
        <v>95</v>
      </c>
      <c r="K10" s="665"/>
      <c r="L10" s="227"/>
      <c r="M10" s="227"/>
      <c r="N10" s="268"/>
      <c r="O10" s="294"/>
      <c r="P10" s="240"/>
      <c r="Q10" s="240"/>
      <c r="R10" s="240"/>
      <c r="S10" s="665" t="s">
        <v>95</v>
      </c>
      <c r="T10" s="665"/>
      <c r="U10" s="283"/>
      <c r="V10" s="253"/>
      <c r="W10" s="253"/>
      <c r="X10" s="281"/>
      <c r="Y10" s="11"/>
      <c r="Z10" s="12"/>
      <c r="AA10" s="145" t="str">
        <f>'Grupo A'!$S$17</f>
        <v>Senegal</v>
      </c>
      <c r="AB10" s="289" t="s">
        <v>52</v>
      </c>
    </row>
    <row r="11" spans="1:93" ht="15.6" customHeight="1" thickBot="1" x14ac:dyDescent="0.3">
      <c r="B11" s="230"/>
      <c r="C11" s="238"/>
      <c r="D11" s="241" t="s">
        <v>50</v>
      </c>
      <c r="E11" s="241" t="s">
        <v>94</v>
      </c>
      <c r="F11" s="245" t="s">
        <v>198</v>
      </c>
      <c r="G11" s="653" t="s">
        <v>96</v>
      </c>
      <c r="H11" s="664"/>
      <c r="I11" s="22"/>
      <c r="J11" s="667" t="str">
        <f>IF(I12="","",IF(I11=I12,'Reglas Polla'!D32,0))</f>
        <v/>
      </c>
      <c r="K11" s="668"/>
      <c r="L11" s="227"/>
      <c r="M11" s="227"/>
      <c r="N11" s="268"/>
      <c r="O11" s="294"/>
      <c r="P11" s="240"/>
      <c r="Q11" s="240"/>
      <c r="R11" s="240"/>
      <c r="S11" s="667" t="str">
        <f>IF(U12="","",IF(U11=U12,'Reglas Polla'!D32,0))</f>
        <v/>
      </c>
      <c r="T11" s="668"/>
      <c r="U11" s="19"/>
      <c r="V11" s="653" t="s">
        <v>96</v>
      </c>
      <c r="W11" s="653"/>
      <c r="X11" s="245" t="s">
        <v>192</v>
      </c>
      <c r="Y11" s="238" t="s">
        <v>50</v>
      </c>
      <c r="Z11" s="238" t="s">
        <v>94</v>
      </c>
      <c r="AA11" s="242"/>
      <c r="AB11" s="243"/>
    </row>
    <row r="12" spans="1:93" ht="15.6" customHeight="1" thickBot="1" x14ac:dyDescent="0.3">
      <c r="B12" s="230"/>
      <c r="C12" s="238"/>
      <c r="D12" s="241" t="s">
        <v>50</v>
      </c>
      <c r="E12" s="241" t="s">
        <v>94</v>
      </c>
      <c r="F12" s="246" t="s">
        <v>205</v>
      </c>
      <c r="G12" s="653" t="s">
        <v>8</v>
      </c>
      <c r="H12" s="664"/>
      <c r="I12" s="149" t="str">
        <f>IF(OR(G8="",G16=""),"",IF(G8&gt;G16,F8,IF(G16&gt;G8,F16,IF(OR(H8="",H16=""),"",IF(H8&gt;H16,F8,IF(H16&gt;H8,F16,""))))))</f>
        <v/>
      </c>
      <c r="J12" s="12"/>
      <c r="K12" s="12"/>
      <c r="L12" s="227"/>
      <c r="M12" s="227"/>
      <c r="N12" s="268"/>
      <c r="O12" s="673" t="s">
        <v>41</v>
      </c>
      <c r="P12" s="240"/>
      <c r="Q12" s="240"/>
      <c r="R12" s="271"/>
      <c r="S12" s="13"/>
      <c r="T12" s="12"/>
      <c r="U12" s="146" t="str">
        <f>IF(OR(V8="",V16=""),"",IF(V8&gt;V16,X8,IF(V16&gt;V8,X16,IF(OR(W8="",W16=""),"",IF(W8&gt;W16,X8,IF(W16&gt;W8,X16,""))))))</f>
        <v/>
      </c>
      <c r="V12" s="653" t="s">
        <v>8</v>
      </c>
      <c r="W12" s="653"/>
      <c r="X12" s="246" t="s">
        <v>206</v>
      </c>
      <c r="Y12" s="238" t="s">
        <v>50</v>
      </c>
      <c r="Z12" s="238" t="s">
        <v>94</v>
      </c>
      <c r="AA12" s="242"/>
      <c r="AB12" s="243"/>
    </row>
    <row r="13" spans="1:93" ht="15.6" customHeight="1" thickBot="1" x14ac:dyDescent="0.3">
      <c r="B13" s="231" t="s">
        <v>35</v>
      </c>
      <c r="C13" s="149" t="str">
        <f>'Grupo C'!$S$16</f>
        <v>Argentina</v>
      </c>
      <c r="D13" s="12"/>
      <c r="E13" s="12"/>
      <c r="F13" s="252"/>
      <c r="G13" s="255"/>
      <c r="H13" s="254"/>
      <c r="I13" s="250"/>
      <c r="J13" s="241" t="s">
        <v>50</v>
      </c>
      <c r="K13" s="251" t="s">
        <v>94</v>
      </c>
      <c r="L13" s="227"/>
      <c r="M13" s="227"/>
      <c r="N13" s="268"/>
      <c r="O13" s="674"/>
      <c r="P13" s="663" t="s">
        <v>95</v>
      </c>
      <c r="Q13" s="663"/>
      <c r="R13" s="271"/>
      <c r="S13" s="260" t="s">
        <v>50</v>
      </c>
      <c r="T13" s="241" t="s">
        <v>94</v>
      </c>
      <c r="U13" s="250"/>
      <c r="V13" s="284"/>
      <c r="W13" s="255"/>
      <c r="X13" s="281"/>
      <c r="Y13" s="11"/>
      <c r="Z13" s="12"/>
      <c r="AA13" s="145" t="str">
        <f>'Grupo D'!$S$16</f>
        <v>Francia</v>
      </c>
      <c r="AB13" s="289" t="s">
        <v>43</v>
      </c>
    </row>
    <row r="14" spans="1:93" ht="15.6" customHeight="1" thickBot="1" x14ac:dyDescent="0.3">
      <c r="B14" s="230"/>
      <c r="C14" s="250"/>
      <c r="D14" s="238"/>
      <c r="E14" s="256"/>
      <c r="F14" s="247"/>
      <c r="G14" s="665" t="s">
        <v>95</v>
      </c>
      <c r="H14" s="666"/>
      <c r="I14" s="252"/>
      <c r="J14" s="238"/>
      <c r="K14" s="254"/>
      <c r="L14" s="227"/>
      <c r="M14" s="653" t="s">
        <v>8</v>
      </c>
      <c r="N14" s="653"/>
      <c r="O14" s="148" t="str">
        <f>IF(OR(M20="",P20=""),"",IF(M20&gt;P20,L20,IF(P20&gt;M20,R20,IF(OR(N20="",Q20=""),"",IF(N20&gt;Q20,L20,IF(Q20&gt;N20,R20,""))))))</f>
        <v/>
      </c>
      <c r="P14" s="659" t="str">
        <f>IF(O14="","",IF(O15=O14,'Reglas Polla'!D35,0))</f>
        <v/>
      </c>
      <c r="Q14" s="660"/>
      <c r="R14" s="271"/>
      <c r="S14" s="238"/>
      <c r="T14" s="238"/>
      <c r="U14" s="281"/>
      <c r="V14" s="657" t="s">
        <v>95</v>
      </c>
      <c r="W14" s="663"/>
      <c r="X14" s="257"/>
      <c r="Y14" s="290"/>
      <c r="Z14" s="238"/>
      <c r="AA14" s="250"/>
      <c r="AB14" s="243"/>
    </row>
    <row r="15" spans="1:93" ht="15.6" customHeight="1" thickBot="1" x14ac:dyDescent="0.3">
      <c r="B15" s="230"/>
      <c r="C15" s="245" t="s">
        <v>195</v>
      </c>
      <c r="D15" s="653" t="s">
        <v>96</v>
      </c>
      <c r="E15" s="664"/>
      <c r="F15" s="21"/>
      <c r="G15" s="667" t="str">
        <f>IF(F16="","",IF(F15=F16,'Reglas Polla'!D31,0))</f>
        <v/>
      </c>
      <c r="H15" s="668"/>
      <c r="I15" s="252"/>
      <c r="J15" s="238"/>
      <c r="K15" s="254"/>
      <c r="L15" s="227"/>
      <c r="M15" s="653" t="s">
        <v>96</v>
      </c>
      <c r="N15" s="653"/>
      <c r="O15" s="18"/>
      <c r="P15" s="661" t="str">
        <f>IF(O16="","",IF(O15=O16,20,0))</f>
        <v/>
      </c>
      <c r="Q15" s="662"/>
      <c r="R15" s="271"/>
      <c r="S15" s="238"/>
      <c r="T15" s="238"/>
      <c r="U15" s="281"/>
      <c r="V15" s="677" t="str">
        <f>IF(X16="","",IF(X15=X16,'Reglas Polla'!D31,0))</f>
        <v/>
      </c>
      <c r="W15" s="678"/>
      <c r="X15" s="20"/>
      <c r="Y15" s="653" t="s">
        <v>96</v>
      </c>
      <c r="Z15" s="653"/>
      <c r="AA15" s="245" t="s">
        <v>193</v>
      </c>
      <c r="AB15" s="243"/>
    </row>
    <row r="16" spans="1:93" ht="15.6" customHeight="1" thickBot="1" x14ac:dyDescent="0.35">
      <c r="B16" s="230"/>
      <c r="C16" s="246" t="s">
        <v>201</v>
      </c>
      <c r="D16" s="653" t="s">
        <v>8</v>
      </c>
      <c r="E16" s="664"/>
      <c r="F16" s="149" t="str">
        <f>IF(OR(D13="",D18=""),"",IF(D13&gt;D18,C13,IF(D18&gt;D13,C18,IF(OR(E13="",E18=""),"",IF(E13&gt;E18,C13,IF(E18&gt;E13,C18,""))))))</f>
        <v/>
      </c>
      <c r="G16" s="12"/>
      <c r="H16" s="12"/>
      <c r="I16" s="252"/>
      <c r="J16" s="238"/>
      <c r="K16" s="254"/>
      <c r="L16" s="227"/>
      <c r="M16" s="653"/>
      <c r="N16" s="653"/>
      <c r="O16" s="276"/>
      <c r="P16" s="282"/>
      <c r="Q16" s="240"/>
      <c r="R16" s="271"/>
      <c r="S16" s="238"/>
      <c r="T16" s="238"/>
      <c r="U16" s="281"/>
      <c r="V16" s="11"/>
      <c r="W16" s="12"/>
      <c r="X16" s="146" t="str">
        <f>IF(OR(Y13="",Y18=""),"",IF(Y13&gt;Y18,AA13,IF(Y18&gt;Y13,AA18,IF(OR(Z13="",Z18=""),"",IF(Z13&gt;Z18,AA13,IF(Z18&gt;Z13,AA18,""))))))</f>
        <v/>
      </c>
      <c r="Y16" s="653" t="s">
        <v>8</v>
      </c>
      <c r="Z16" s="653"/>
      <c r="AA16" s="246" t="s">
        <v>203</v>
      </c>
      <c r="AB16" s="243"/>
    </row>
    <row r="17" spans="2:28" ht="15.6" customHeight="1" thickBot="1" x14ac:dyDescent="0.3">
      <c r="B17" s="230"/>
      <c r="C17" s="257"/>
      <c r="D17" s="238"/>
      <c r="E17" s="258"/>
      <c r="F17" s="266"/>
      <c r="G17" s="241" t="s">
        <v>50</v>
      </c>
      <c r="H17" s="241" t="s">
        <v>94</v>
      </c>
      <c r="I17" s="252"/>
      <c r="J17" s="238"/>
      <c r="K17" s="254"/>
      <c r="L17" s="227"/>
      <c r="M17" s="227"/>
      <c r="N17" s="268"/>
      <c r="O17" s="268"/>
      <c r="P17" s="240"/>
      <c r="Q17" s="240"/>
      <c r="R17" s="271"/>
      <c r="S17" s="238"/>
      <c r="T17" s="238"/>
      <c r="U17" s="281"/>
      <c r="V17" s="241" t="s">
        <v>50</v>
      </c>
      <c r="W17" s="241" t="s">
        <v>94</v>
      </c>
      <c r="X17" s="285"/>
      <c r="Y17" s="292"/>
      <c r="Z17" s="238"/>
      <c r="AA17" s="257"/>
      <c r="AB17" s="243"/>
    </row>
    <row r="18" spans="2:28" ht="15.6" customHeight="1" thickBot="1" x14ac:dyDescent="0.3">
      <c r="B18" s="231" t="s">
        <v>36</v>
      </c>
      <c r="C18" s="149" t="str">
        <f>'Grupo D'!$S$17</f>
        <v>Túnez</v>
      </c>
      <c r="D18" s="12"/>
      <c r="E18" s="12"/>
      <c r="F18" s="227"/>
      <c r="G18" s="227"/>
      <c r="H18" s="227"/>
      <c r="I18" s="252"/>
      <c r="J18" s="238"/>
      <c r="K18" s="254"/>
      <c r="L18" s="227"/>
      <c r="M18" s="665" t="s">
        <v>95</v>
      </c>
      <c r="N18" s="666"/>
      <c r="O18" s="245" t="s">
        <v>198</v>
      </c>
      <c r="P18" s="670" t="s">
        <v>95</v>
      </c>
      <c r="Q18" s="665"/>
      <c r="R18" s="270"/>
      <c r="S18" s="253"/>
      <c r="T18" s="238"/>
      <c r="U18" s="281"/>
      <c r="V18" s="227"/>
      <c r="W18" s="227"/>
      <c r="X18" s="227"/>
      <c r="Y18" s="11"/>
      <c r="Z18" s="12"/>
      <c r="AA18" s="145" t="str">
        <f>'Grupo C'!$S$17</f>
        <v>México</v>
      </c>
      <c r="AB18" s="289" t="s">
        <v>44</v>
      </c>
    </row>
    <row r="19" spans="2:28" ht="15.6" customHeight="1" thickBot="1" x14ac:dyDescent="0.3">
      <c r="B19" s="230"/>
      <c r="C19" s="238"/>
      <c r="D19" s="241" t="s">
        <v>50</v>
      </c>
      <c r="E19" s="241" t="s">
        <v>94</v>
      </c>
      <c r="F19" s="227"/>
      <c r="G19" s="227"/>
      <c r="H19" s="227"/>
      <c r="I19" s="245" t="s">
        <v>198</v>
      </c>
      <c r="J19" s="653" t="s">
        <v>96</v>
      </c>
      <c r="K19" s="664"/>
      <c r="L19" s="21"/>
      <c r="M19" s="667" t="str">
        <f>IF(L20="","",IF(L19=L20,'Reglas Polla'!D33,0))</f>
        <v/>
      </c>
      <c r="N19" s="668"/>
      <c r="O19" s="246" t="s">
        <v>208</v>
      </c>
      <c r="P19" s="667" t="str">
        <f>IF(R20="","",IF(R19=R20,'Reglas Polla'!D33,0))</f>
        <v/>
      </c>
      <c r="Q19" s="668"/>
      <c r="R19" s="20"/>
      <c r="S19" s="653" t="s">
        <v>96</v>
      </c>
      <c r="T19" s="653"/>
      <c r="U19" s="245" t="s">
        <v>192</v>
      </c>
      <c r="V19" s="227"/>
      <c r="W19" s="227"/>
      <c r="X19" s="227"/>
      <c r="Y19" s="238" t="s">
        <v>50</v>
      </c>
      <c r="Z19" s="238" t="s">
        <v>94</v>
      </c>
      <c r="AA19" s="242"/>
      <c r="AB19" s="243"/>
    </row>
    <row r="20" spans="2:28" ht="15.6" customHeight="1" thickBot="1" x14ac:dyDescent="0.3">
      <c r="B20" s="230"/>
      <c r="C20" s="238"/>
      <c r="D20" s="241" t="s">
        <v>50</v>
      </c>
      <c r="E20" s="241" t="s">
        <v>94</v>
      </c>
      <c r="F20" s="227"/>
      <c r="G20" s="227"/>
      <c r="H20" s="227"/>
      <c r="I20" s="246" t="s">
        <v>207</v>
      </c>
      <c r="J20" s="653" t="s">
        <v>8</v>
      </c>
      <c r="K20" s="664"/>
      <c r="L20" s="149" t="str">
        <f>IF(OR(J12="",J28=""),"",IF(J12&gt;J28,I12,IF(J28&gt;J12,I28,IF(OR(H8="",H16=""),"",IF(K12&gt;K28,I12,IF(K28&gt;K12,I28,""))))))</f>
        <v/>
      </c>
      <c r="M20" s="12"/>
      <c r="N20" s="12"/>
      <c r="O20" s="295"/>
      <c r="P20" s="11"/>
      <c r="Q20" s="12"/>
      <c r="R20" s="146" t="str">
        <f>IF(OR(S12="",S28=""),"",IF(S12&gt;S28,U12,IF(S28&gt;S12,U28,IF(OR(T12="",T28=""),"",IF(T12&gt;T28,U12,IF(T28&gt;T12,U28,""))))))</f>
        <v/>
      </c>
      <c r="S20" s="653" t="s">
        <v>8</v>
      </c>
      <c r="T20" s="653"/>
      <c r="U20" s="246" t="s">
        <v>210</v>
      </c>
      <c r="V20" s="227"/>
      <c r="W20" s="227"/>
      <c r="X20" s="227"/>
      <c r="Y20" s="238" t="s">
        <v>50</v>
      </c>
      <c r="Z20" s="238" t="s">
        <v>94</v>
      </c>
      <c r="AA20" s="242"/>
      <c r="AB20" s="243"/>
    </row>
    <row r="21" spans="2:28" ht="15.6" customHeight="1" thickBot="1" x14ac:dyDescent="0.3">
      <c r="B21" s="231" t="s">
        <v>37</v>
      </c>
      <c r="C21" s="149" t="str">
        <f>'Grupo E'!$S$16</f>
        <v>España</v>
      </c>
      <c r="D21" s="12"/>
      <c r="E21" s="12"/>
      <c r="F21" s="227"/>
      <c r="G21" s="227"/>
      <c r="H21" s="227"/>
      <c r="I21" s="245"/>
      <c r="J21" s="238"/>
      <c r="K21" s="254"/>
      <c r="L21" s="227"/>
      <c r="M21" s="241" t="s">
        <v>50</v>
      </c>
      <c r="N21" s="241" t="s">
        <v>94</v>
      </c>
      <c r="O21" s="255"/>
      <c r="P21" s="241" t="s">
        <v>50</v>
      </c>
      <c r="Q21" s="241" t="s">
        <v>94</v>
      </c>
      <c r="R21" s="277"/>
      <c r="S21" s="255"/>
      <c r="T21" s="238"/>
      <c r="U21" s="281"/>
      <c r="V21" s="227"/>
      <c r="W21" s="227"/>
      <c r="X21" s="227"/>
      <c r="Y21" s="11"/>
      <c r="Z21" s="12"/>
      <c r="AA21" s="145" t="str">
        <f>'Grupo F'!$S$16</f>
        <v>Bélgica</v>
      </c>
      <c r="AB21" s="289" t="s">
        <v>45</v>
      </c>
    </row>
    <row r="22" spans="2:28" ht="15.6" customHeight="1" thickBot="1" x14ac:dyDescent="0.3">
      <c r="B22" s="230"/>
      <c r="C22" s="250"/>
      <c r="D22" s="238"/>
      <c r="E22" s="238"/>
      <c r="F22" s="267"/>
      <c r="G22" s="665" t="s">
        <v>95</v>
      </c>
      <c r="H22" s="665"/>
      <c r="I22" s="252"/>
      <c r="J22" s="238"/>
      <c r="K22" s="254"/>
      <c r="L22" s="227"/>
      <c r="M22" s="227"/>
      <c r="N22" s="227"/>
      <c r="O22" s="240"/>
      <c r="P22" s="227"/>
      <c r="Q22" s="227"/>
      <c r="R22" s="271"/>
      <c r="S22" s="238"/>
      <c r="T22" s="238"/>
      <c r="U22" s="281"/>
      <c r="V22" s="665" t="s">
        <v>95</v>
      </c>
      <c r="W22" s="665"/>
      <c r="X22" s="270"/>
      <c r="Y22" s="290"/>
      <c r="Z22" s="238"/>
      <c r="AA22" s="250"/>
      <c r="AB22" s="243"/>
    </row>
    <row r="23" spans="2:28" ht="15.6" customHeight="1" thickBot="1" x14ac:dyDescent="0.3">
      <c r="B23" s="230"/>
      <c r="C23" s="245" t="s">
        <v>199</v>
      </c>
      <c r="D23" s="653" t="s">
        <v>96</v>
      </c>
      <c r="E23" s="664"/>
      <c r="G23" s="667" t="str">
        <f>IF(F24="","",IF(F23=F24,'Reglas Polla'!D31,0))</f>
        <v/>
      </c>
      <c r="H23" s="668"/>
      <c r="I23" s="252"/>
      <c r="J23" s="238"/>
      <c r="K23" s="254"/>
      <c r="L23" s="227"/>
      <c r="M23" s="227"/>
      <c r="N23" s="227"/>
      <c r="O23" s="240"/>
      <c r="P23" s="227"/>
      <c r="Q23" s="227"/>
      <c r="R23" s="271"/>
      <c r="S23" s="227"/>
      <c r="T23" s="227"/>
      <c r="U23" s="281"/>
      <c r="V23" s="667" t="str">
        <f>IF(X24="","",IF(X23=X24,'Reglas Polla'!D31,0))</f>
        <v/>
      </c>
      <c r="W23" s="668"/>
      <c r="X23" s="20"/>
      <c r="Y23" s="653" t="s">
        <v>96</v>
      </c>
      <c r="Z23" s="653"/>
      <c r="AA23" s="274" t="s">
        <v>197</v>
      </c>
      <c r="AB23" s="243"/>
    </row>
    <row r="24" spans="2:28" ht="15.6" customHeight="1" thickBot="1" x14ac:dyDescent="0.3">
      <c r="B24" s="230"/>
      <c r="C24" s="246" t="s">
        <v>202</v>
      </c>
      <c r="D24" s="653" t="s">
        <v>8</v>
      </c>
      <c r="E24" s="664"/>
      <c r="F24" s="149" t="str">
        <f>IF(OR(D21="",D26=""),"",IF(D21&gt;D26,C21,IF(D26&gt;D21,C26,IF(OR(E21="",E26=""),"",IF(E21&gt;E26,C21,IF(E26&gt;E21,C26,""))))))</f>
        <v/>
      </c>
      <c r="G24" s="12"/>
      <c r="H24" s="15"/>
      <c r="I24" s="252"/>
      <c r="J24" s="238"/>
      <c r="K24" s="254"/>
      <c r="L24" s="227"/>
      <c r="M24" s="227"/>
      <c r="N24" s="227"/>
      <c r="O24" s="240"/>
      <c r="P24" s="227"/>
      <c r="Q24" s="227"/>
      <c r="R24" s="271"/>
      <c r="S24" s="227"/>
      <c r="T24" s="227"/>
      <c r="U24" s="281"/>
      <c r="V24" s="14"/>
      <c r="W24" s="15"/>
      <c r="X24" s="146" t="str">
        <f>IF(OR(Y21="",Y26=""),"",IF(Y21&gt;Y26,AA21,IF(Y26&gt;Y21,AA26,IF(OR(Z21="",Z26=""),"",IF(Z21&gt;Z26,AA21,IF(Z26&gt;Z21,AA26,""))))))</f>
        <v/>
      </c>
      <c r="Y24" s="653" t="s">
        <v>8</v>
      </c>
      <c r="Z24" s="653"/>
      <c r="AA24" s="246" t="s">
        <v>204</v>
      </c>
      <c r="AB24" s="243"/>
    </row>
    <row r="25" spans="2:28" ht="15.6" customHeight="1" thickBot="1" x14ac:dyDescent="0.3">
      <c r="B25" s="230"/>
      <c r="C25" s="257"/>
      <c r="D25" s="259"/>
      <c r="E25" s="249"/>
      <c r="F25" s="250"/>
      <c r="G25" s="260" t="s">
        <v>50</v>
      </c>
      <c r="H25" s="261" t="s">
        <v>94</v>
      </c>
      <c r="I25" s="252"/>
      <c r="J25" s="238"/>
      <c r="K25" s="254"/>
      <c r="L25" s="227"/>
      <c r="M25" s="227"/>
      <c r="N25" s="227"/>
      <c r="O25" s="671" t="s">
        <v>48</v>
      </c>
      <c r="P25" s="240"/>
      <c r="Q25" s="240"/>
      <c r="R25" s="271"/>
      <c r="S25" s="227"/>
      <c r="T25" s="227"/>
      <c r="U25" s="281"/>
      <c r="V25" s="286" t="s">
        <v>50</v>
      </c>
      <c r="W25" s="287" t="s">
        <v>94</v>
      </c>
      <c r="X25" s="250"/>
      <c r="Y25" s="293"/>
      <c r="Z25" s="259"/>
      <c r="AA25" s="257"/>
      <c r="AB25" s="243"/>
    </row>
    <row r="26" spans="2:28" ht="15.6" customHeight="1" thickBot="1" x14ac:dyDescent="0.3">
      <c r="B26" s="231" t="s">
        <v>38</v>
      </c>
      <c r="C26" s="149" t="str">
        <f>'Grupo F'!$S$17</f>
        <v>Croacia</v>
      </c>
      <c r="D26" s="12"/>
      <c r="E26" s="16"/>
      <c r="F26" s="252"/>
      <c r="G26" s="253"/>
      <c r="H26" s="254"/>
      <c r="I26" s="247"/>
      <c r="J26" s="665" t="s">
        <v>95</v>
      </c>
      <c r="K26" s="666"/>
      <c r="L26" s="227"/>
      <c r="M26" s="227"/>
      <c r="N26" s="227"/>
      <c r="O26" s="672"/>
      <c r="P26" s="665" t="s">
        <v>95</v>
      </c>
      <c r="Q26" s="665"/>
      <c r="R26" s="271"/>
      <c r="S26" s="665" t="s">
        <v>95</v>
      </c>
      <c r="T26" s="665"/>
      <c r="U26" s="257"/>
      <c r="V26" s="288"/>
      <c r="W26" s="253"/>
      <c r="X26" s="281"/>
      <c r="Y26" s="11"/>
      <c r="Z26" s="12"/>
      <c r="AA26" s="145" t="str">
        <f>'Grupo E'!$S$17</f>
        <v>Japón</v>
      </c>
      <c r="AB26" s="289" t="s">
        <v>46</v>
      </c>
    </row>
    <row r="27" spans="2:28" ht="15.6" customHeight="1" thickBot="1" x14ac:dyDescent="0.3">
      <c r="B27" s="230"/>
      <c r="C27" s="238"/>
      <c r="D27" s="241" t="s">
        <v>50</v>
      </c>
      <c r="E27" s="241" t="s">
        <v>94</v>
      </c>
      <c r="F27" s="245" t="s">
        <v>197</v>
      </c>
      <c r="G27" s="653" t="s">
        <v>96</v>
      </c>
      <c r="H27" s="664"/>
      <c r="I27" s="21"/>
      <c r="J27" s="667" t="str">
        <f>IF(I28="","",IF(I27=I28,'Reglas Polla'!D32,0))</f>
        <v/>
      </c>
      <c r="K27" s="668"/>
      <c r="L27" s="227"/>
      <c r="M27" s="653" t="s">
        <v>8</v>
      </c>
      <c r="N27" s="653"/>
      <c r="O27" s="151" t="str">
        <f>IF(OR(M33="",P33=""),"",IF(M33&gt;P33,L33,IF(P33&gt;M33,R33,IF(OR(N33="",Q33=""),"",IF(N33&gt;Q33,L33,IF(Q33&gt;N33,R33,""))))))</f>
        <v/>
      </c>
      <c r="P27" s="659" t="str">
        <f>IF(O27="","",IF(O28=O27,'Reglas Polla'!D34,0))</f>
        <v/>
      </c>
      <c r="Q27" s="660"/>
      <c r="R27" s="271"/>
      <c r="S27" s="667" t="str">
        <f>IF(U28="","",IF(U27=U28,'Reglas Polla'!D32,0))</f>
        <v/>
      </c>
      <c r="T27" s="668"/>
      <c r="U27" s="19"/>
      <c r="V27" s="654" t="s">
        <v>96</v>
      </c>
      <c r="W27" s="653"/>
      <c r="X27" s="245" t="s">
        <v>193</v>
      </c>
      <c r="Y27" s="238" t="s">
        <v>50</v>
      </c>
      <c r="Z27" s="238" t="s">
        <v>94</v>
      </c>
      <c r="AA27" s="242"/>
      <c r="AB27" s="243"/>
    </row>
    <row r="28" spans="2:28" ht="15.6" customHeight="1" thickBot="1" x14ac:dyDescent="0.3">
      <c r="B28" s="230"/>
      <c r="C28" s="238"/>
      <c r="D28" s="241" t="s">
        <v>50</v>
      </c>
      <c r="E28" s="241" t="s">
        <v>94</v>
      </c>
      <c r="F28" s="246" t="s">
        <v>205</v>
      </c>
      <c r="G28" s="653" t="s">
        <v>8</v>
      </c>
      <c r="H28" s="664"/>
      <c r="I28" s="149" t="str">
        <f>IF(OR(G24="",G32=""),"",IF(G24&gt;G32,F24,IF(G32&gt;G24,F32,IF(OR(H24="",H32=""),"",IF(H24&gt;H32,F24,IF(H32&gt;H24,F32,""))))))</f>
        <v/>
      </c>
      <c r="J28" s="12"/>
      <c r="K28" s="12"/>
      <c r="L28" s="227"/>
      <c r="M28" s="653" t="s">
        <v>96</v>
      </c>
      <c r="N28" s="653"/>
      <c r="O28" s="17"/>
      <c r="P28" s="661" t="str">
        <f>IF(O29="","",IF(O28=O29,20,0))</f>
        <v/>
      </c>
      <c r="Q28" s="662"/>
      <c r="R28" s="271"/>
      <c r="S28" s="13"/>
      <c r="T28" s="12"/>
      <c r="U28" s="146" t="str">
        <f>IF(OR(V24="",V32=""),"",IF(V24&gt;V32,X24,IF(V32&gt;V24,X32,IF(OR(W24="",W32=""),"",IF(W24&gt;W32,X24,IF(W32&gt;W24,X32,""))))))</f>
        <v/>
      </c>
      <c r="V28" s="653" t="s">
        <v>8</v>
      </c>
      <c r="W28" s="653"/>
      <c r="X28" s="246" t="s">
        <v>206</v>
      </c>
      <c r="Y28" s="238" t="s">
        <v>50</v>
      </c>
      <c r="Z28" s="238" t="s">
        <v>94</v>
      </c>
      <c r="AA28" s="242"/>
      <c r="AB28" s="243"/>
    </row>
    <row r="29" spans="2:28" ht="15.6" customHeight="1" thickBot="1" x14ac:dyDescent="0.35">
      <c r="B29" s="231" t="s">
        <v>39</v>
      </c>
      <c r="C29" s="149" t="str">
        <f>'Grupo G'!$S$16</f>
        <v>Brasil</v>
      </c>
      <c r="D29" s="12"/>
      <c r="E29" s="12"/>
      <c r="F29" s="252"/>
      <c r="G29" s="255"/>
      <c r="H29" s="254"/>
      <c r="I29" s="227"/>
      <c r="J29" s="241" t="s">
        <v>50</v>
      </c>
      <c r="K29" s="241" t="s">
        <v>94</v>
      </c>
      <c r="L29" s="227"/>
      <c r="M29" s="227"/>
      <c r="N29" s="268"/>
      <c r="O29" s="273"/>
      <c r="P29" s="240"/>
      <c r="Q29" s="240"/>
      <c r="R29" s="240"/>
      <c r="S29" s="241" t="s">
        <v>50</v>
      </c>
      <c r="T29" s="241" t="s">
        <v>94</v>
      </c>
      <c r="U29" s="279"/>
      <c r="V29" s="255"/>
      <c r="W29" s="255"/>
      <c r="X29" s="281"/>
      <c r="Y29" s="11"/>
      <c r="Z29" s="12"/>
      <c r="AA29" s="145" t="str">
        <f>'Grupo H'!$S$16</f>
        <v>Portugal</v>
      </c>
      <c r="AB29" s="289" t="s">
        <v>47</v>
      </c>
    </row>
    <row r="30" spans="2:28" ht="15.6" customHeight="1" thickBot="1" x14ac:dyDescent="0.3">
      <c r="B30" s="232"/>
      <c r="C30" s="250"/>
      <c r="D30" s="238"/>
      <c r="E30" s="256"/>
      <c r="F30" s="247"/>
      <c r="G30" s="665" t="s">
        <v>95</v>
      </c>
      <c r="H30" s="666"/>
      <c r="I30" s="227"/>
      <c r="J30" s="227"/>
      <c r="K30" s="227"/>
      <c r="L30" s="227"/>
      <c r="M30" s="227"/>
      <c r="N30" s="268"/>
      <c r="O30" s="274" t="s">
        <v>200</v>
      </c>
      <c r="P30" s="232"/>
      <c r="Q30" s="240"/>
      <c r="R30" s="240"/>
      <c r="S30" s="227"/>
      <c r="T30" s="227"/>
      <c r="U30" s="268"/>
      <c r="V30" s="665" t="s">
        <v>95</v>
      </c>
      <c r="W30" s="665"/>
      <c r="X30" s="257"/>
      <c r="Y30" s="290"/>
      <c r="Z30" s="238"/>
      <c r="AA30" s="250"/>
      <c r="AB30" s="243"/>
    </row>
    <row r="31" spans="2:28" ht="15.6" customHeight="1" thickBot="1" x14ac:dyDescent="0.3">
      <c r="B31" s="232"/>
      <c r="C31" s="245">
        <v>974</v>
      </c>
      <c r="D31" s="653" t="s">
        <v>96</v>
      </c>
      <c r="E31" s="664"/>
      <c r="F31" s="21"/>
      <c r="G31" s="667" t="str">
        <f>IF(F32="","",IF(F31=F32,'Reglas Polla'!D31,0))</f>
        <v/>
      </c>
      <c r="H31" s="668"/>
      <c r="I31" s="227"/>
      <c r="J31" s="227"/>
      <c r="K31" s="227"/>
      <c r="L31" s="227"/>
      <c r="M31" s="653"/>
      <c r="N31" s="679"/>
      <c r="O31" s="246" t="s">
        <v>209</v>
      </c>
      <c r="P31" s="676"/>
      <c r="Q31" s="653"/>
      <c r="R31" s="278"/>
      <c r="S31" s="227"/>
      <c r="T31" s="227"/>
      <c r="U31" s="227"/>
      <c r="V31" s="667" t="str">
        <f>IF(X32="","",IF(X31=X32,'Reglas Polla'!D31,0))</f>
        <v/>
      </c>
      <c r="W31" s="668"/>
      <c r="X31" s="19"/>
      <c r="Y31" s="653" t="s">
        <v>96</v>
      </c>
      <c r="Z31" s="653"/>
      <c r="AA31" s="245" t="s">
        <v>198</v>
      </c>
      <c r="AB31" s="243"/>
    </row>
    <row r="32" spans="2:28" ht="15.6" customHeight="1" thickBot="1" x14ac:dyDescent="0.3">
      <c r="B32" s="232"/>
      <c r="C32" s="246" t="s">
        <v>202</v>
      </c>
      <c r="D32" s="653" t="s">
        <v>8</v>
      </c>
      <c r="E32" s="664"/>
      <c r="F32" s="149" t="str">
        <f>IF(OR(D29="",D34=""),"",IF(D29&gt;D34,C29,IF(D34&gt;D29,C34,IF(OR(E29="",E34=""),"",IF(E29&gt;E34,C29,IF(E34&gt;E29,C34,""))))))</f>
        <v/>
      </c>
      <c r="G32" s="12"/>
      <c r="H32" s="12"/>
      <c r="I32" s="227"/>
      <c r="J32" s="653" t="s">
        <v>96</v>
      </c>
      <c r="K32" s="653"/>
      <c r="L32" s="34"/>
      <c r="M32" s="653"/>
      <c r="N32" s="679"/>
      <c r="O32" s="275"/>
      <c r="P32" s="657"/>
      <c r="Q32" s="658"/>
      <c r="R32" s="20"/>
      <c r="S32" s="653" t="s">
        <v>96</v>
      </c>
      <c r="T32" s="653"/>
      <c r="U32" s="280"/>
      <c r="V32" s="11"/>
      <c r="W32" s="12"/>
      <c r="X32" s="146" t="str">
        <f>IF(OR(Y29="",Y34=""),"",IF(Y29&gt;Y34,AA29,IF(Y34&gt;Y29,AA34,IF(OR(Z29="",Z34=""),"",IF(Z29&gt;Z34,AA29,IF(Z34&gt;Z29,AA34,""))))))</f>
        <v/>
      </c>
      <c r="Y32" s="653" t="s">
        <v>8</v>
      </c>
      <c r="Z32" s="653"/>
      <c r="AA32" s="246" t="s">
        <v>204</v>
      </c>
      <c r="AB32" s="243"/>
    </row>
    <row r="33" spans="1:93" ht="15.6" customHeight="1" thickBot="1" x14ac:dyDescent="0.3">
      <c r="B33" s="232"/>
      <c r="C33" s="247"/>
      <c r="D33" s="238"/>
      <c r="E33" s="262"/>
      <c r="F33" s="272"/>
      <c r="G33" s="241" t="s">
        <v>50</v>
      </c>
      <c r="H33" s="241" t="s">
        <v>94</v>
      </c>
      <c r="I33" s="227"/>
      <c r="J33" s="653" t="s">
        <v>8</v>
      </c>
      <c r="K33" s="664"/>
      <c r="L33" s="150" t="str">
        <f>IF(OR(J12="",J28=""),"",IF(J12&lt;J28,I12,IF(J28&lt;J12,I28,IF(OR(H8="",H16=""),"",IF(K12&lt;K28,I12,IF(K28&lt;K12,I28,""))))))</f>
        <v/>
      </c>
      <c r="M33" s="35"/>
      <c r="N33" s="36"/>
      <c r="O33" s="296"/>
      <c r="P33" s="37"/>
      <c r="Q33" s="16"/>
      <c r="R33" s="147" t="str">
        <f>IF(OR(S12="",S28=""),"",IF(S12&lt;S28,U12,IF(S28&lt;S12,U28,IF(OR(T12="",T28=""),"",IF(T12&lt;T28,U12,IF(T28&lt;T12,U28,""))))))</f>
        <v/>
      </c>
      <c r="S33" s="654" t="s">
        <v>8</v>
      </c>
      <c r="T33" s="653"/>
      <c r="U33" s="227"/>
      <c r="V33" s="241" t="s">
        <v>50</v>
      </c>
      <c r="W33" s="241" t="s">
        <v>94</v>
      </c>
      <c r="X33" s="227"/>
      <c r="Y33" s="293"/>
      <c r="Z33" s="238"/>
      <c r="AA33" s="257"/>
      <c r="AB33" s="243"/>
    </row>
    <row r="34" spans="1:93" ht="15.6" customHeight="1" thickBot="1" x14ac:dyDescent="0.3">
      <c r="B34" s="231" t="s">
        <v>40</v>
      </c>
      <c r="C34" s="149" t="str">
        <f>'Grupo H'!$S$17</f>
        <v>Corea del Sur</v>
      </c>
      <c r="D34" s="12"/>
      <c r="E34" s="12"/>
      <c r="F34" s="227"/>
      <c r="G34" s="227"/>
      <c r="H34" s="227"/>
      <c r="I34" s="227"/>
      <c r="J34" s="227"/>
      <c r="K34" s="227"/>
      <c r="L34" s="253"/>
      <c r="M34" s="241" t="s">
        <v>50</v>
      </c>
      <c r="N34" s="241" t="s">
        <v>94</v>
      </c>
      <c r="O34" s="227"/>
      <c r="P34" s="241" t="s">
        <v>50</v>
      </c>
      <c r="Q34" s="241" t="s">
        <v>94</v>
      </c>
      <c r="R34" s="240"/>
      <c r="S34" s="227"/>
      <c r="T34" s="227"/>
      <c r="U34" s="238"/>
      <c r="V34" s="227"/>
      <c r="W34" s="227"/>
      <c r="X34" s="227"/>
      <c r="Y34" s="11"/>
      <c r="Z34" s="12"/>
      <c r="AA34" s="145" t="str">
        <f>'Grupo G'!$S$17</f>
        <v>Camerún</v>
      </c>
      <c r="AB34" s="289" t="s">
        <v>49</v>
      </c>
    </row>
    <row r="35" spans="1:93" s="144" customFormat="1" ht="15.6" customHeight="1" x14ac:dyDescent="0.25">
      <c r="A35"/>
      <c r="B35" s="232"/>
      <c r="C35" s="238"/>
      <c r="D35" s="241" t="s">
        <v>50</v>
      </c>
      <c r="E35" s="241" t="s">
        <v>94</v>
      </c>
      <c r="F35" s="227"/>
      <c r="G35" s="227"/>
      <c r="H35" s="227"/>
      <c r="I35" s="227"/>
      <c r="J35" s="227"/>
      <c r="K35" s="227"/>
      <c r="L35" s="263"/>
      <c r="M35" s="238"/>
      <c r="N35" s="240"/>
      <c r="O35" s="227"/>
      <c r="P35" s="227"/>
      <c r="Q35" s="227"/>
      <c r="R35" s="240"/>
      <c r="S35" s="227"/>
      <c r="T35" s="227"/>
      <c r="U35" s="238"/>
      <c r="V35" s="227"/>
      <c r="W35" s="227"/>
      <c r="X35" s="227"/>
      <c r="Y35" s="238" t="s">
        <v>50</v>
      </c>
      <c r="Z35" s="238" t="s">
        <v>94</v>
      </c>
      <c r="AA35" s="242"/>
      <c r="AB35" s="24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4" customFormat="1" ht="15.75" thickBot="1" x14ac:dyDescent="0.3">
      <c r="A36"/>
      <c r="B36" s="233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algorithmName="SHA-512" hashValue="vGCIOnN4YKrTWgnPi0ahiq+Ta54NtXdLqhcYqbO64NWpJ06BOZ2M5jSOZ033zPnGRGiEgd3ab/aiz1Wm4tSfQg==" saltValue="uilnq47z8ryHC+lbYX18jg==" spinCount="100000" sheet="1" objects="1" scenarios="1" selectLockedCells="1"/>
  <mergeCells count="84">
    <mergeCell ref="C3:E3"/>
    <mergeCell ref="F3:H3"/>
    <mergeCell ref="I3:K3"/>
    <mergeCell ref="L3:N3"/>
    <mergeCell ref="G7:H7"/>
    <mergeCell ref="D7:E7"/>
    <mergeCell ref="G6:H6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D31:E31"/>
    <mergeCell ref="D32:E32"/>
    <mergeCell ref="J33:K33"/>
    <mergeCell ref="G27:H27"/>
    <mergeCell ref="G28:H28"/>
    <mergeCell ref="G31:H31"/>
    <mergeCell ref="J32:K32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Y31:Z31"/>
    <mergeCell ref="Y32:Z32"/>
    <mergeCell ref="S32:T32"/>
    <mergeCell ref="V27:W27"/>
    <mergeCell ref="V28:W28"/>
    <mergeCell ref="S33:T33"/>
    <mergeCell ref="O7:O8"/>
    <mergeCell ref="P32:Q32"/>
    <mergeCell ref="S19:T19"/>
    <mergeCell ref="S20:T20"/>
    <mergeCell ref="P14:Q15"/>
    <mergeCell ref="P13:Q13"/>
    <mergeCell ref="Y7:Z7"/>
    <mergeCell ref="Y8:Z8"/>
    <mergeCell ref="Y15:Z15"/>
    <mergeCell ref="Y16:Z16"/>
    <mergeCell ref="Y23:Z23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E8" sqref="E8:E9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715" t="s">
        <v>7</v>
      </c>
      <c r="E7" s="715" t="s">
        <v>8</v>
      </c>
      <c r="F7" s="715" t="s">
        <v>158</v>
      </c>
    </row>
    <row r="8" spans="2:6" ht="33" customHeight="1" x14ac:dyDescent="0.25">
      <c r="B8" s="718" t="s">
        <v>156</v>
      </c>
      <c r="C8" s="722"/>
      <c r="D8" s="724" t="str">
        <f>IF(DB_PARTIDOS!M20="","",DB_PARTIDOS!M20)</f>
        <v>Lionel Messi</v>
      </c>
      <c r="E8" s="720"/>
      <c r="F8" s="680">
        <f>IF(E8="",0,IF(OR(E8=D8,E8=D9),'Reglas Polla'!D37,0))</f>
        <v>0</v>
      </c>
    </row>
    <row r="9" spans="2:6" ht="31.5" customHeight="1" thickBot="1" x14ac:dyDescent="0.3">
      <c r="B9" s="719" t="s">
        <v>157</v>
      </c>
      <c r="C9" s="723"/>
      <c r="D9" s="725" t="str">
        <f>IF(DB_PARTIDOS!M21="","",DB_PARTIDOS!M21)</f>
        <v>Mbappe</v>
      </c>
      <c r="E9" s="721"/>
      <c r="F9" s="681" t="str">
        <f>IF(E10="","",IF(E9=E10,20,0))</f>
        <v/>
      </c>
    </row>
  </sheetData>
  <sheetProtection algorithmName="SHA-512" hashValue="vEu0WysIgjbcoLsRiIeXb3zYBNnWUMLgcSc+2Ub+rKjMGEhoQtkXoSQEoUmCOogoZw0CRBh4iO6brvsc2oC8dA==" saltValue="zlc9ATzYGaw9XWNFheG4Xw==" spinCount="100000" sheet="1" objects="1" scenarios="1"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682" t="s">
        <v>101</v>
      </c>
      <c r="B1" s="683"/>
      <c r="C1" s="683"/>
      <c r="D1" s="683"/>
      <c r="E1" s="683"/>
      <c r="F1" s="684"/>
    </row>
    <row r="2" spans="1:6" ht="15.75" thickBot="1" x14ac:dyDescent="0.3">
      <c r="A2" s="685"/>
      <c r="B2" s="686"/>
      <c r="C2" s="686"/>
      <c r="D2" s="686"/>
      <c r="E2" s="686"/>
      <c r="F2" s="687"/>
    </row>
    <row r="3" spans="1:6" ht="31.5" customHeight="1" thickBot="1" x14ac:dyDescent="0.3">
      <c r="A3" s="219"/>
      <c r="B3" s="220" t="s">
        <v>98</v>
      </c>
      <c r="C3" s="221" t="s">
        <v>70</v>
      </c>
      <c r="D3" s="221" t="s">
        <v>71</v>
      </c>
      <c r="E3" s="221" t="s">
        <v>99</v>
      </c>
      <c r="F3" s="222" t="s">
        <v>100</v>
      </c>
    </row>
    <row r="4" spans="1:6" x14ac:dyDescent="0.25">
      <c r="A4" s="223" t="s">
        <v>69</v>
      </c>
      <c r="B4" s="8">
        <f>'Grupo A'!L21</f>
        <v>0</v>
      </c>
      <c r="C4" s="5">
        <f>SUM('Grupo A'!K$6:K$17)/'Grupo A'!AA$28</f>
        <v>0</v>
      </c>
      <c r="D4" s="9">
        <f>SUM('Grupo A'!L$6:L$17)/'Grupo A'!AB$28</f>
        <v>0</v>
      </c>
      <c r="E4" s="688">
        <f>'Cuadro Final'!O7</f>
        <v>0</v>
      </c>
      <c r="F4" s="690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24" t="s">
        <v>72</v>
      </c>
      <c r="B5" s="6">
        <f>'Grupo B'!L21</f>
        <v>0</v>
      </c>
      <c r="C5" s="5">
        <f>SUM('Grupo B'!K$6:K$17)/'Grupo B'!AA$28</f>
        <v>0</v>
      </c>
      <c r="D5" s="5">
        <f>SUM('Grupo B'!L$6:L$17)/'Grupo B'!AB$28</f>
        <v>0</v>
      </c>
      <c r="E5" s="688"/>
      <c r="F5" s="691"/>
    </row>
    <row r="6" spans="1:6" x14ac:dyDescent="0.25">
      <c r="A6" s="224" t="s">
        <v>73</v>
      </c>
      <c r="B6" s="6">
        <f>'Grupo C'!L21</f>
        <v>0</v>
      </c>
      <c r="C6" s="5">
        <f>SUM('Grupo C'!K$6:K$17)/'Grupo C'!AA$28</f>
        <v>0</v>
      </c>
      <c r="D6" s="24">
        <f>SUM('Grupo C'!L$6:L$17)/'Grupo C'!AB$28</f>
        <v>0</v>
      </c>
      <c r="E6" s="688"/>
      <c r="F6" s="691"/>
    </row>
    <row r="7" spans="1:6" x14ac:dyDescent="0.25">
      <c r="A7" s="224" t="s">
        <v>74</v>
      </c>
      <c r="B7" s="6">
        <f>'Grupo D'!L21</f>
        <v>0</v>
      </c>
      <c r="C7" s="5">
        <f>SUM('Grupo D'!K$6:K$17)/'Grupo D'!AA$28</f>
        <v>0</v>
      </c>
      <c r="D7" s="5">
        <f>SUM('Grupo D'!L$6:L$17)/'Grupo D'!AB$28</f>
        <v>0</v>
      </c>
      <c r="E7" s="688"/>
      <c r="F7" s="691"/>
    </row>
    <row r="8" spans="1:6" x14ac:dyDescent="0.25">
      <c r="A8" s="224" t="s">
        <v>75</v>
      </c>
      <c r="B8" s="6">
        <f>'Grupo E'!L21</f>
        <v>0</v>
      </c>
      <c r="C8" s="5">
        <f>SUM('Grupo E'!K$6:K$17)/'Grupo E'!AA$28</f>
        <v>0</v>
      </c>
      <c r="D8" s="5">
        <f>SUM('Grupo E'!L$6:L$17)/'Grupo E'!AB$28</f>
        <v>0</v>
      </c>
      <c r="E8" s="688"/>
      <c r="F8" s="691"/>
    </row>
    <row r="9" spans="1:6" x14ac:dyDescent="0.25">
      <c r="A9" s="224" t="s">
        <v>76</v>
      </c>
      <c r="B9" s="6">
        <f>'Grupo F'!L21</f>
        <v>0</v>
      </c>
      <c r="C9" s="5">
        <f>SUM('Grupo F'!K$6:K$17)/'Grupo F'!AA$28</f>
        <v>0</v>
      </c>
      <c r="D9" s="5">
        <f>SUM('Grupo F'!L$6:L$17)/'Grupo F'!AB$28</f>
        <v>0</v>
      </c>
      <c r="E9" s="688"/>
      <c r="F9" s="691"/>
    </row>
    <row r="10" spans="1:6" x14ac:dyDescent="0.25">
      <c r="A10" s="224" t="s">
        <v>77</v>
      </c>
      <c r="B10" s="6">
        <f>'Grupo G'!L21</f>
        <v>0</v>
      </c>
      <c r="C10" s="5">
        <f>SUM('Grupo G'!K$6:K$17)/'Grupo G'!AA$28</f>
        <v>0</v>
      </c>
      <c r="D10" s="5">
        <f>SUM('Grupo G'!L$6:L$17)/'Grupo G'!AB$28</f>
        <v>0</v>
      </c>
      <c r="E10" s="688"/>
      <c r="F10" s="691"/>
    </row>
    <row r="11" spans="1:6" ht="15.75" thickBot="1" x14ac:dyDescent="0.3">
      <c r="A11" s="225" t="s">
        <v>78</v>
      </c>
      <c r="B11" s="7">
        <f>'Grupo H'!L21</f>
        <v>0</v>
      </c>
      <c r="C11" s="23">
        <f>SUM('Grupo H'!K$6:K$17)/'Grupo H'!AA$28</f>
        <v>0</v>
      </c>
      <c r="D11" s="25">
        <f>SUM('Grupo H'!L$6:L$17)/'Grupo H'!AB$28</f>
        <v>0</v>
      </c>
      <c r="E11" s="689"/>
      <c r="F11" s="692"/>
    </row>
    <row r="12" spans="1:6" ht="15.75" thickBot="1" x14ac:dyDescent="0.3">
      <c r="A12" s="143" t="s">
        <v>79</v>
      </c>
      <c r="B12" s="139">
        <f>SUM(B4:B11)</f>
        <v>0</v>
      </c>
      <c r="C12" s="140">
        <f>SUM(C4:C11)</f>
        <v>0</v>
      </c>
      <c r="D12" s="141">
        <f>SUM(D4:D11)</f>
        <v>0</v>
      </c>
      <c r="E12" s="140">
        <f>SUM(E4:E11)</f>
        <v>0</v>
      </c>
      <c r="F12" s="142">
        <f>SUM(F4:F11)</f>
        <v>0</v>
      </c>
    </row>
    <row r="13" spans="1:6" ht="15.75" thickBot="1" x14ac:dyDescent="0.3">
      <c r="A13" s="226" t="s">
        <v>145</v>
      </c>
      <c r="B13" s="705">
        <f>Goleador!$F$8</f>
        <v>0</v>
      </c>
      <c r="C13" s="705"/>
      <c r="D13" s="705"/>
      <c r="E13" s="705"/>
      <c r="F13" s="705"/>
    </row>
    <row r="14" spans="1:6" ht="15" customHeight="1" x14ac:dyDescent="0.25">
      <c r="A14" s="693" t="s">
        <v>140</v>
      </c>
      <c r="B14" s="694"/>
      <c r="C14" s="693" t="s">
        <v>139</v>
      </c>
      <c r="D14" s="694"/>
      <c r="E14" s="693" t="s">
        <v>138</v>
      </c>
      <c r="F14" s="694"/>
    </row>
    <row r="15" spans="1:6" ht="15" customHeight="1" x14ac:dyDescent="0.25">
      <c r="A15" s="695"/>
      <c r="B15" s="696"/>
      <c r="C15" s="695"/>
      <c r="D15" s="696"/>
      <c r="E15" s="695"/>
      <c r="F15" s="696"/>
    </row>
    <row r="16" spans="1:6" ht="15.75" customHeight="1" thickBot="1" x14ac:dyDescent="0.3">
      <c r="A16" s="697"/>
      <c r="B16" s="698"/>
      <c r="C16" s="697"/>
      <c r="D16" s="698"/>
      <c r="E16" s="697"/>
      <c r="F16" s="698"/>
    </row>
    <row r="17" spans="1:6" ht="15" customHeight="1" x14ac:dyDescent="0.25">
      <c r="A17" s="699">
        <f>$B$12+$E$12+$B$13</f>
        <v>0</v>
      </c>
      <c r="B17" s="700"/>
      <c r="C17" s="699">
        <f>C12+F12</f>
        <v>0</v>
      </c>
      <c r="D17" s="700"/>
      <c r="E17" s="699">
        <f>D12</f>
        <v>0</v>
      </c>
      <c r="F17" s="700"/>
    </row>
    <row r="18" spans="1:6" ht="15" customHeight="1" x14ac:dyDescent="0.25">
      <c r="A18" s="701"/>
      <c r="B18" s="702"/>
      <c r="C18" s="701"/>
      <c r="D18" s="702"/>
      <c r="E18" s="701"/>
      <c r="F18" s="702"/>
    </row>
    <row r="19" spans="1:6" ht="15.75" customHeight="1" thickBot="1" x14ac:dyDescent="0.3">
      <c r="A19" s="703"/>
      <c r="B19" s="704"/>
      <c r="C19" s="703"/>
      <c r="D19" s="704"/>
      <c r="E19" s="703"/>
      <c r="F19" s="704"/>
    </row>
  </sheetData>
  <sheetProtection algorithmName="SHA-512" hashValue="fB5t8I75uHVqokysaIrubShVOslway51AOs2feomca2mMsbRL5qHYLbvwmpL3jqvAYWlDmwk3HFvI7aovN5xUg==" saltValue="eYk4rDhD4XDLz0kiDEQbFg==" spinCount="100000" sheet="1" objects="1" scenarios="1"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H4" sqref="H4"/>
    </sheetView>
  </sheetViews>
  <sheetFormatPr baseColWidth="10" defaultRowHeight="15" x14ac:dyDescent="0.25"/>
  <cols>
    <col min="1" max="1" width="10.42578125" customWidth="1"/>
    <col min="2" max="2" width="9.7109375" customWidth="1"/>
    <col min="3" max="3" width="11" customWidth="1"/>
    <col min="4" max="4" width="13.7109375" bestFit="1" customWidth="1"/>
    <col min="5" max="5" width="15.42578125" customWidth="1"/>
    <col min="6" max="6" width="13.7109375" bestFit="1" customWidth="1"/>
    <col min="7" max="7" width="19" customWidth="1"/>
    <col min="8" max="8" width="20.7109375" customWidth="1"/>
    <col min="9" max="9" width="24.28515625" customWidth="1"/>
    <col min="11" max="11" width="6.140625" customWidth="1"/>
    <col min="12" max="12" width="6" customWidth="1"/>
    <col min="13" max="13" width="15.7109375" customWidth="1"/>
  </cols>
  <sheetData>
    <row r="1" spans="1:13" x14ac:dyDescent="0.25">
      <c r="A1" t="s">
        <v>212</v>
      </c>
      <c r="B1" t="s">
        <v>213</v>
      </c>
      <c r="C1" t="s">
        <v>226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L1" t="s">
        <v>212</v>
      </c>
      <c r="M1" t="s">
        <v>227</v>
      </c>
    </row>
    <row r="2" spans="1:13" x14ac:dyDescent="0.25">
      <c r="A2" s="297" t="str">
        <f>CONCATENATE(B2,C2)</f>
        <v>A1</v>
      </c>
      <c r="B2" s="4" t="str">
        <f>MID('Grupo A'!$C$2,7,1)</f>
        <v>A</v>
      </c>
      <c r="C2" s="4">
        <v>1</v>
      </c>
      <c r="D2" t="str">
        <f>'Grupo A'!G$6</f>
        <v>Qatar</v>
      </c>
      <c r="E2" s="717">
        <v>1</v>
      </c>
      <c r="F2" t="str">
        <f>'Grupo A'!I$6</f>
        <v>Ecuador</v>
      </c>
      <c r="G2">
        <v>1</v>
      </c>
      <c r="H2" t="str">
        <f>IF([2]!Tabla1[[#This Row],[GOLES_LOCAL_REAL]]="","",[2]!Tabla1[[#This Row],[GOLES_LOCAL_REAL]])</f>
        <v/>
      </c>
      <c r="I2" t="str">
        <f>IF([2]!Tabla1[[#This Row],[GOLES_VISITANTE_REAL]]="","",[2]!Tabla1[[#This Row],[GOLES_VISITANTE_REAL]])</f>
        <v/>
      </c>
      <c r="L2" t="s">
        <v>228</v>
      </c>
      <c r="M2" t="s">
        <v>185</v>
      </c>
    </row>
    <row r="3" spans="1:13" x14ac:dyDescent="0.25">
      <c r="A3" s="297" t="str">
        <f t="shared" ref="A3:A65" si="0">CONCATENATE(B3,C3)</f>
        <v>A2</v>
      </c>
      <c r="B3" s="4" t="str">
        <f>MID('Grupo A'!$C$2,7,1)</f>
        <v>A</v>
      </c>
      <c r="C3" s="4">
        <v>2</v>
      </c>
      <c r="D3" t="str">
        <f>'Grupo A'!G$8</f>
        <v>Senegal</v>
      </c>
      <c r="E3" s="717">
        <v>0</v>
      </c>
      <c r="F3" t="str">
        <f>'Grupo A'!I$8</f>
        <v>Países Bajos</v>
      </c>
      <c r="G3">
        <v>3</v>
      </c>
      <c r="H3" t="str">
        <f>IF([2]!Tabla1[[#This Row],[GOLES_LOCAL_REAL]]="","",[2]!Tabla1[[#This Row],[GOLES_LOCAL_REAL]])</f>
        <v/>
      </c>
      <c r="I3" t="str">
        <f>IF([2]!Tabla1[[#This Row],[GOLES_VISITANTE_REAL]]="","",[2]!Tabla1[[#This Row],[GOLES_VISITANTE_REAL]])</f>
        <v/>
      </c>
      <c r="L3" t="s">
        <v>229</v>
      </c>
      <c r="M3" t="s">
        <v>183</v>
      </c>
    </row>
    <row r="4" spans="1:13" x14ac:dyDescent="0.25">
      <c r="A4" s="297" t="str">
        <f t="shared" si="0"/>
        <v>A3</v>
      </c>
      <c r="B4" s="4" t="str">
        <f>MID('Grupo A'!$C$2,7,1)</f>
        <v>A</v>
      </c>
      <c r="C4" s="4">
        <v>3</v>
      </c>
      <c r="D4" t="str">
        <f>'Grupo A'!G$10</f>
        <v>Qatar</v>
      </c>
      <c r="E4" s="717">
        <v>1</v>
      </c>
      <c r="F4" t="str">
        <f>'Grupo A'!I$10</f>
        <v>Senegal</v>
      </c>
      <c r="G4">
        <v>0</v>
      </c>
      <c r="H4" t="str">
        <f>IF([2]!Tabla1[[#This Row],[GOLES_LOCAL_REAL]]="","",[2]!Tabla1[[#This Row],[GOLES_LOCAL_REAL]])</f>
        <v/>
      </c>
      <c r="I4" t="str">
        <f>IF([2]!Tabla1[[#This Row],[GOLES_VISITANTE_REAL]]="","",[2]!Tabla1[[#This Row],[GOLES_VISITANTE_REAL]])</f>
        <v/>
      </c>
      <c r="L4" t="s">
        <v>230</v>
      </c>
      <c r="M4" t="s">
        <v>106</v>
      </c>
    </row>
    <row r="5" spans="1:13" x14ac:dyDescent="0.25">
      <c r="A5" s="297" t="str">
        <f t="shared" si="0"/>
        <v>A4</v>
      </c>
      <c r="B5" s="4" t="str">
        <f>MID('Grupo A'!$C$2,7,1)</f>
        <v>A</v>
      </c>
      <c r="C5" s="4">
        <v>4</v>
      </c>
      <c r="D5" t="str">
        <f>'Grupo A'!G$12</f>
        <v>Países Bajos</v>
      </c>
      <c r="E5" s="717">
        <v>2</v>
      </c>
      <c r="F5" t="str">
        <f>'Grupo A'!I$12</f>
        <v>Ecuador</v>
      </c>
      <c r="G5">
        <v>0</v>
      </c>
      <c r="H5" t="str">
        <f>IF([2]!Tabla1[[#This Row],[GOLES_LOCAL_REAL]]="","",[2]!Tabla1[[#This Row],[GOLES_LOCAL_REAL]])</f>
        <v/>
      </c>
      <c r="I5" t="str">
        <f>IF([2]!Tabla1[[#This Row],[GOLES_VISITANTE_REAL]]="","",[2]!Tabla1[[#This Row],[GOLES_VISITANTE_REAL]])</f>
        <v/>
      </c>
      <c r="L5" t="s">
        <v>231</v>
      </c>
      <c r="M5" t="s">
        <v>187</v>
      </c>
    </row>
    <row r="6" spans="1:13" x14ac:dyDescent="0.25">
      <c r="A6" s="297" t="str">
        <f t="shared" si="0"/>
        <v>A5</v>
      </c>
      <c r="B6" s="4" t="str">
        <f>MID('Grupo A'!$C$2,7,1)</f>
        <v>A</v>
      </c>
      <c r="C6" s="4">
        <v>5</v>
      </c>
      <c r="D6" t="str">
        <f>'Grupo A'!G$14</f>
        <v>Países Bajos</v>
      </c>
      <c r="E6" s="717">
        <v>2</v>
      </c>
      <c r="F6" t="str">
        <f>'Grupo A'!I$14</f>
        <v>Qatar</v>
      </c>
      <c r="G6">
        <v>0</v>
      </c>
      <c r="H6" t="str">
        <f>IF([2]!Tabla1[[#This Row],[GOLES_LOCAL_REAL]]="","",[2]!Tabla1[[#This Row],[GOLES_LOCAL_REAL]])</f>
        <v/>
      </c>
      <c r="I6" t="str">
        <f>IF([2]!Tabla1[[#This Row],[GOLES_VISITANTE_REAL]]="","",[2]!Tabla1[[#This Row],[GOLES_VISITANTE_REAL]])</f>
        <v/>
      </c>
      <c r="L6" t="s">
        <v>232</v>
      </c>
      <c r="M6" t="s">
        <v>109</v>
      </c>
    </row>
    <row r="7" spans="1:13" x14ac:dyDescent="0.25">
      <c r="A7" s="297" t="str">
        <f t="shared" si="0"/>
        <v>A6</v>
      </c>
      <c r="B7" s="4" t="str">
        <f>MID('Grupo A'!$C$2,7,1)</f>
        <v>A</v>
      </c>
      <c r="C7" s="4">
        <v>6</v>
      </c>
      <c r="D7" t="str">
        <f>'Grupo A'!G$16</f>
        <v>Ecuador</v>
      </c>
      <c r="E7" s="717">
        <v>1</v>
      </c>
      <c r="F7" t="str">
        <f>'Grupo A'!I$16</f>
        <v>Senegal</v>
      </c>
      <c r="G7">
        <v>1</v>
      </c>
      <c r="H7" t="str">
        <f>IF([2]!Tabla1[[#This Row],[GOLES_LOCAL_REAL]]="","",[2]!Tabla1[[#This Row],[GOLES_LOCAL_REAL]])</f>
        <v/>
      </c>
      <c r="I7" t="str">
        <f>IF([2]!Tabla1[[#This Row],[GOLES_VISITANTE_REAL]]="","",[2]!Tabla1[[#This Row],[GOLES_VISITANTE_REAL]])</f>
        <v/>
      </c>
      <c r="L7" t="s">
        <v>233</v>
      </c>
      <c r="M7" t="s">
        <v>153</v>
      </c>
    </row>
    <row r="8" spans="1:13" x14ac:dyDescent="0.25">
      <c r="A8" s="297" t="str">
        <f t="shared" si="0"/>
        <v>B1</v>
      </c>
      <c r="B8" s="4" t="str">
        <f>MID('Grupo B'!$C$2,7,1)</f>
        <v>B</v>
      </c>
      <c r="C8" s="4">
        <v>1</v>
      </c>
      <c r="D8" t="str">
        <f>'Grupo B'!G$6</f>
        <v>Inglaterra</v>
      </c>
      <c r="E8" s="717">
        <v>2</v>
      </c>
      <c r="F8" t="str">
        <f>'Grupo B'!I$6</f>
        <v>Irán</v>
      </c>
      <c r="G8">
        <v>0</v>
      </c>
      <c r="H8" t="str">
        <f>IF([2]!Tabla1[[#This Row],[GOLES_LOCAL_REAL]]="","",[2]!Tabla1[[#This Row],[GOLES_LOCAL_REAL]])</f>
        <v/>
      </c>
      <c r="I8" t="str">
        <f>IF([2]!Tabla1[[#This Row],[GOLES_VISITANTE_REAL]]="","",[2]!Tabla1[[#This Row],[GOLES_VISITANTE_REAL]])</f>
        <v/>
      </c>
      <c r="L8" t="s">
        <v>234</v>
      </c>
      <c r="M8" t="s">
        <v>108</v>
      </c>
    </row>
    <row r="9" spans="1:13" x14ac:dyDescent="0.25">
      <c r="A9" s="297" t="str">
        <f t="shared" si="0"/>
        <v>B2</v>
      </c>
      <c r="B9" s="4" t="str">
        <f>MID('Grupo B'!$C$2,7,1)</f>
        <v>B</v>
      </c>
      <c r="C9" s="4">
        <v>2</v>
      </c>
      <c r="D9" t="str">
        <f>'Grupo B'!G$8</f>
        <v>USA</v>
      </c>
      <c r="E9" s="717">
        <v>1</v>
      </c>
      <c r="F9" t="str">
        <f>'Grupo B'!I$8</f>
        <v>Gales</v>
      </c>
      <c r="G9">
        <v>1</v>
      </c>
      <c r="H9" t="str">
        <f>IF([2]!Tabla1[[#This Row],[GOLES_LOCAL_REAL]]="","",[2]!Tabla1[[#This Row],[GOLES_LOCAL_REAL]])</f>
        <v/>
      </c>
      <c r="I9" t="str">
        <f>IF([2]!Tabla1[[#This Row],[GOLES_VISITANTE_REAL]]="","",[2]!Tabla1[[#This Row],[GOLES_VISITANTE_REAL]])</f>
        <v/>
      </c>
      <c r="L9" t="s">
        <v>235</v>
      </c>
      <c r="M9" t="s">
        <v>149</v>
      </c>
    </row>
    <row r="10" spans="1:13" x14ac:dyDescent="0.25">
      <c r="A10" s="297" t="str">
        <f t="shared" si="0"/>
        <v>B3</v>
      </c>
      <c r="B10" s="4" t="str">
        <f>MID('Grupo B'!$C$2,7,1)</f>
        <v>B</v>
      </c>
      <c r="C10" s="4">
        <v>3</v>
      </c>
      <c r="D10" t="str">
        <f>'Grupo B'!G$10</f>
        <v>Gales</v>
      </c>
      <c r="E10" s="717">
        <v>1</v>
      </c>
      <c r="F10" t="str">
        <f>'Grupo B'!I$10</f>
        <v>Irán</v>
      </c>
      <c r="G10">
        <v>0</v>
      </c>
      <c r="H10" t="str">
        <f>IF([2]!Tabla1[[#This Row],[GOLES_LOCAL_REAL]]="","",[2]!Tabla1[[#This Row],[GOLES_LOCAL_REAL]])</f>
        <v/>
      </c>
      <c r="I10" t="str">
        <f>IF([2]!Tabla1[[#This Row],[GOLES_VISITANTE_REAL]]="","",[2]!Tabla1[[#This Row],[GOLES_VISITANTE_REAL]])</f>
        <v/>
      </c>
      <c r="L10" t="s">
        <v>236</v>
      </c>
      <c r="M10" t="s">
        <v>110</v>
      </c>
    </row>
    <row r="11" spans="1:13" x14ac:dyDescent="0.25">
      <c r="A11" s="297" t="str">
        <f t="shared" si="0"/>
        <v>B4</v>
      </c>
      <c r="B11" s="4" t="str">
        <f>MID('Grupo B'!$C$2,7,1)</f>
        <v>B</v>
      </c>
      <c r="C11" s="4">
        <v>4</v>
      </c>
      <c r="D11" t="str">
        <f>'Grupo B'!G$12</f>
        <v>Inglaterra</v>
      </c>
      <c r="E11" s="717">
        <v>2</v>
      </c>
      <c r="F11" t="str">
        <f>'Grupo B'!I$12</f>
        <v>USA</v>
      </c>
      <c r="G11">
        <v>1</v>
      </c>
      <c r="H11" t="str">
        <f>IF([2]!Tabla1[[#This Row],[GOLES_LOCAL_REAL]]="","",[2]!Tabla1[[#This Row],[GOLES_LOCAL_REAL]])</f>
        <v/>
      </c>
      <c r="I11" t="str">
        <f>IF([2]!Tabla1[[#This Row],[GOLES_VISITANTE_REAL]]="","",[2]!Tabla1[[#This Row],[GOLES_VISITANTE_REAL]])</f>
        <v/>
      </c>
      <c r="L11" t="s">
        <v>237</v>
      </c>
      <c r="M11" t="s">
        <v>102</v>
      </c>
    </row>
    <row r="12" spans="1:13" x14ac:dyDescent="0.25">
      <c r="A12" s="297" t="str">
        <f t="shared" si="0"/>
        <v>B5</v>
      </c>
      <c r="B12" s="4" t="str">
        <f>MID('Grupo B'!$C$2,7,1)</f>
        <v>B</v>
      </c>
      <c r="C12" s="4">
        <v>5</v>
      </c>
      <c r="D12" t="str">
        <f>'Grupo B'!G$14</f>
        <v>Irán</v>
      </c>
      <c r="E12" s="717">
        <v>1</v>
      </c>
      <c r="F12" t="str">
        <f>'Grupo B'!I$14</f>
        <v>USA</v>
      </c>
      <c r="G12">
        <v>2</v>
      </c>
      <c r="H12" t="str">
        <f>IF([2]!Tabla1[[#This Row],[GOLES_LOCAL_REAL]]="","",[2]!Tabla1[[#This Row],[GOLES_LOCAL_REAL]])</f>
        <v/>
      </c>
      <c r="I12" t="str">
        <f>IF([2]!Tabla1[[#This Row],[GOLES_VISITANTE_REAL]]="","",[2]!Tabla1[[#This Row],[GOLES_VISITANTE_REAL]])</f>
        <v/>
      </c>
      <c r="L12" t="s">
        <v>238</v>
      </c>
      <c r="M12" t="s">
        <v>151</v>
      </c>
    </row>
    <row r="13" spans="1:13" x14ac:dyDescent="0.25">
      <c r="A13" s="297" t="str">
        <f t="shared" si="0"/>
        <v>B6</v>
      </c>
      <c r="B13" s="4" t="str">
        <f>MID('Grupo B'!$C$2,7,1)</f>
        <v>B</v>
      </c>
      <c r="C13" s="4">
        <v>6</v>
      </c>
      <c r="D13" t="str">
        <f>'Grupo B'!G$16</f>
        <v>Gales</v>
      </c>
      <c r="E13" s="717">
        <v>1</v>
      </c>
      <c r="F13" t="str">
        <f>'Grupo B'!I$16</f>
        <v>Inglaterra</v>
      </c>
      <c r="G13">
        <v>2</v>
      </c>
      <c r="H13" t="str">
        <f>IF([2]!Tabla1[[#This Row],[GOLES_LOCAL_REAL]]="","",[2]!Tabla1[[#This Row],[GOLES_LOCAL_REAL]])</f>
        <v/>
      </c>
      <c r="I13" t="str">
        <f>IF([2]!Tabla1[[#This Row],[GOLES_VISITANTE_REAL]]="","",[2]!Tabla1[[#This Row],[GOLES_VISITANTE_REAL]])</f>
        <v/>
      </c>
      <c r="L13" t="s">
        <v>239</v>
      </c>
      <c r="M13" t="s">
        <v>5</v>
      </c>
    </row>
    <row r="14" spans="1:13" x14ac:dyDescent="0.25">
      <c r="A14" s="297" t="str">
        <f t="shared" si="0"/>
        <v>C1</v>
      </c>
      <c r="B14" s="4" t="str">
        <f>MID('Grupo C'!$C$2,7,1)</f>
        <v>C</v>
      </c>
      <c r="C14" s="4">
        <v>1</v>
      </c>
      <c r="D14" t="str">
        <f>'Grupo C'!G$6</f>
        <v>Argentina</v>
      </c>
      <c r="E14" s="717">
        <v>4</v>
      </c>
      <c r="F14" t="str">
        <f>'Grupo C'!I$6</f>
        <v>Arabia Saudita</v>
      </c>
      <c r="G14">
        <v>0</v>
      </c>
      <c r="H14" t="str">
        <f>IF([2]!Tabla1[[#This Row],[GOLES_LOCAL_REAL]]="","",[2]!Tabla1[[#This Row],[GOLES_LOCAL_REAL]])</f>
        <v/>
      </c>
      <c r="I14" t="str">
        <f>IF([2]!Tabla1[[#This Row],[GOLES_VISITANTE_REAL]]="","",[2]!Tabla1[[#This Row],[GOLES_VISITANTE_REAL]])</f>
        <v/>
      </c>
      <c r="L14" t="s">
        <v>240</v>
      </c>
      <c r="M14" t="s">
        <v>4</v>
      </c>
    </row>
    <row r="15" spans="1:13" x14ac:dyDescent="0.25">
      <c r="A15" s="297" t="str">
        <f t="shared" si="0"/>
        <v>C2</v>
      </c>
      <c r="B15" s="4" t="str">
        <f>MID('Grupo C'!$C$2,7,1)</f>
        <v>C</v>
      </c>
      <c r="C15" s="4">
        <v>2</v>
      </c>
      <c r="D15" t="str">
        <f>'Grupo C'!G$8</f>
        <v>México</v>
      </c>
      <c r="E15" s="717">
        <v>1</v>
      </c>
      <c r="F15" t="str">
        <f>'Grupo C'!I$8</f>
        <v>Polonia</v>
      </c>
      <c r="G15">
        <v>2</v>
      </c>
      <c r="H15" t="str">
        <f>IF([2]!Tabla1[[#This Row],[GOLES_LOCAL_REAL]]="","",[2]!Tabla1[[#This Row],[GOLES_LOCAL_REAL]])</f>
        <v/>
      </c>
      <c r="I15" t="str">
        <f>IF([2]!Tabla1[[#This Row],[GOLES_VISITANTE_REAL]]="","",[2]!Tabla1[[#This Row],[GOLES_VISITANTE_REAL]])</f>
        <v/>
      </c>
      <c r="L15" t="s">
        <v>241</v>
      </c>
      <c r="M15" t="s">
        <v>150</v>
      </c>
    </row>
    <row r="16" spans="1:13" x14ac:dyDescent="0.25">
      <c r="A16" s="297" t="str">
        <f t="shared" si="0"/>
        <v>C3</v>
      </c>
      <c r="B16" s="4" t="str">
        <f>MID('Grupo C'!$C$2,7,1)</f>
        <v>C</v>
      </c>
      <c r="C16" s="4">
        <v>3</v>
      </c>
      <c r="D16" t="str">
        <f>'Grupo C'!G$10</f>
        <v>Argentina</v>
      </c>
      <c r="E16" s="717">
        <v>2</v>
      </c>
      <c r="F16" t="str">
        <f>'Grupo C'!I$10</f>
        <v>México</v>
      </c>
      <c r="G16">
        <v>0</v>
      </c>
      <c r="H16" t="str">
        <f>IF([2]!Tabla1[[#This Row],[GOLES_LOCAL_REAL]]="","",[2]!Tabla1[[#This Row],[GOLES_LOCAL_REAL]])</f>
        <v/>
      </c>
      <c r="I16" t="str">
        <f>IF([2]!Tabla1[[#This Row],[GOLES_VISITANTE_REAL]]="","",[2]!Tabla1[[#This Row],[GOLES_VISITANTE_REAL]])</f>
        <v/>
      </c>
      <c r="L16" t="s">
        <v>242</v>
      </c>
      <c r="M16" t="s">
        <v>111</v>
      </c>
    </row>
    <row r="17" spans="1:13" x14ac:dyDescent="0.25">
      <c r="A17" s="297" t="str">
        <f t="shared" si="0"/>
        <v>C4</v>
      </c>
      <c r="B17" s="4" t="str">
        <f>MID('Grupo C'!$C$2,7,1)</f>
        <v>C</v>
      </c>
      <c r="C17" s="4">
        <v>4</v>
      </c>
      <c r="D17" t="str">
        <f>'Grupo C'!G$12</f>
        <v>Polonia</v>
      </c>
      <c r="E17" s="717">
        <v>2</v>
      </c>
      <c r="F17" t="str">
        <f>'Grupo C'!I$12</f>
        <v>Arabia Saudita</v>
      </c>
      <c r="G17">
        <v>1</v>
      </c>
      <c r="H17" t="str">
        <f>IF([2]!Tabla1[[#This Row],[GOLES_LOCAL_REAL]]="","",[2]!Tabla1[[#This Row],[GOLES_LOCAL_REAL]])</f>
        <v/>
      </c>
      <c r="I17" t="str">
        <f>IF([2]!Tabla1[[#This Row],[GOLES_VISITANTE_REAL]]="","",[2]!Tabla1[[#This Row],[GOLES_VISITANTE_REAL]])</f>
        <v/>
      </c>
      <c r="L17" t="s">
        <v>243</v>
      </c>
      <c r="M17" t="s">
        <v>104</v>
      </c>
    </row>
    <row r="18" spans="1:13" x14ac:dyDescent="0.25">
      <c r="A18" s="297" t="str">
        <f t="shared" si="0"/>
        <v>C5</v>
      </c>
      <c r="B18" s="4" t="str">
        <f>MID('Grupo C'!$C$2,7,1)</f>
        <v>C</v>
      </c>
      <c r="C18" s="4">
        <v>5</v>
      </c>
      <c r="D18" t="str">
        <f>'Grupo C'!G$14</f>
        <v>Arabia Saudita</v>
      </c>
      <c r="E18" s="717">
        <v>1</v>
      </c>
      <c r="F18" t="str">
        <f>'Grupo C'!I$14</f>
        <v>México</v>
      </c>
      <c r="G18">
        <v>2</v>
      </c>
      <c r="H18" t="str">
        <f>IF([2]!Tabla1[[#This Row],[GOLES_LOCAL_REAL]]="","",[2]!Tabla1[[#This Row],[GOLES_LOCAL_REAL]])</f>
        <v/>
      </c>
      <c r="I18" t="str">
        <f>IF([2]!Tabla1[[#This Row],[GOLES_VISITANTE_REAL]]="","",[2]!Tabla1[[#This Row],[GOLES_VISITANTE_REAL]])</f>
        <v/>
      </c>
    </row>
    <row r="19" spans="1:13" x14ac:dyDescent="0.25">
      <c r="A19" s="297" t="str">
        <f t="shared" si="0"/>
        <v>C6</v>
      </c>
      <c r="B19" s="4" t="str">
        <f>MID('Grupo C'!$C$2,7,1)</f>
        <v>C</v>
      </c>
      <c r="C19" s="4">
        <v>6</v>
      </c>
      <c r="D19" t="str">
        <f>'Grupo C'!G$16</f>
        <v>Polonia</v>
      </c>
      <c r="E19" s="717">
        <v>1</v>
      </c>
      <c r="F19" t="str">
        <f>'Grupo C'!I$16</f>
        <v>Argentina</v>
      </c>
      <c r="G19">
        <v>2</v>
      </c>
      <c r="H19" t="str">
        <f>IF([2]!Tabla1[[#This Row],[GOLES_LOCAL_REAL]]="","",[2]!Tabla1[[#This Row],[GOLES_LOCAL_REAL]])</f>
        <v/>
      </c>
      <c r="I19" t="str">
        <f>IF([2]!Tabla1[[#This Row],[GOLES_VISITANTE_REAL]]="","",[2]!Tabla1[[#This Row],[GOLES_VISITANTE_REAL]])</f>
        <v/>
      </c>
      <c r="L19" s="716" t="s">
        <v>244</v>
      </c>
      <c r="M19" s="716" t="s">
        <v>245</v>
      </c>
    </row>
    <row r="20" spans="1:13" x14ac:dyDescent="0.25">
      <c r="A20" s="297" t="str">
        <f t="shared" si="0"/>
        <v>D1</v>
      </c>
      <c r="B20" s="4" t="str">
        <f>MID('Grupo D'!$C$2,7,1)</f>
        <v>D</v>
      </c>
      <c r="C20" s="4">
        <v>1</v>
      </c>
      <c r="D20" t="str">
        <f>'Grupo D'!G$6</f>
        <v>Francia</v>
      </c>
      <c r="E20" s="717">
        <v>2</v>
      </c>
      <c r="F20" t="str">
        <f>'Grupo D'!I$6</f>
        <v>Australia</v>
      </c>
      <c r="G20">
        <v>0</v>
      </c>
      <c r="H20" t="str">
        <f>IF([2]!Tabla1[[#This Row],[GOLES_LOCAL_REAL]]="","",[2]!Tabla1[[#This Row],[GOLES_LOCAL_REAL]])</f>
        <v/>
      </c>
      <c r="I20" t="str">
        <f>IF([2]!Tabla1[[#This Row],[GOLES_VISITANTE_REAL]]="","",[2]!Tabla1[[#This Row],[GOLES_VISITANTE_REAL]])</f>
        <v/>
      </c>
      <c r="L20" s="716" t="s">
        <v>240</v>
      </c>
      <c r="M20" s="716" t="s">
        <v>246</v>
      </c>
    </row>
    <row r="21" spans="1:13" x14ac:dyDescent="0.25">
      <c r="A21" s="297" t="str">
        <f t="shared" si="0"/>
        <v>D2</v>
      </c>
      <c r="B21" s="4" t="str">
        <f>MID('Grupo D'!$C$2,7,1)</f>
        <v>D</v>
      </c>
      <c r="C21" s="4">
        <v>2</v>
      </c>
      <c r="D21" t="str">
        <f>'Grupo D'!G$8</f>
        <v>Dinamarca</v>
      </c>
      <c r="E21" s="717">
        <v>2</v>
      </c>
      <c r="F21" t="str">
        <f>'Grupo D'!I$8</f>
        <v>Túnez</v>
      </c>
      <c r="G21">
        <v>1</v>
      </c>
      <c r="H21" t="str">
        <f>IF([2]!Tabla1[[#This Row],[GOLES_LOCAL_REAL]]="","",[2]!Tabla1[[#This Row],[GOLES_LOCAL_REAL]])</f>
        <v/>
      </c>
      <c r="I21" t="str">
        <f>IF([2]!Tabla1[[#This Row],[GOLES_VISITANTE_REAL]]="","",[2]!Tabla1[[#This Row],[GOLES_VISITANTE_REAL]])</f>
        <v/>
      </c>
      <c r="L21" s="716" t="s">
        <v>241</v>
      </c>
      <c r="M21" s="716" t="s">
        <v>247</v>
      </c>
    </row>
    <row r="22" spans="1:13" x14ac:dyDescent="0.25">
      <c r="A22" s="297" t="str">
        <f t="shared" si="0"/>
        <v>D3</v>
      </c>
      <c r="B22" s="4" t="str">
        <f>MID('Grupo D'!$C$2,7,1)</f>
        <v>D</v>
      </c>
      <c r="C22" s="4">
        <v>3</v>
      </c>
      <c r="D22" t="str">
        <f>'Grupo D'!G$10</f>
        <v>Túnez</v>
      </c>
      <c r="E22" s="717">
        <v>1</v>
      </c>
      <c r="F22" t="str">
        <f>'Grupo D'!I$10</f>
        <v>Australia</v>
      </c>
      <c r="G22">
        <v>1</v>
      </c>
      <c r="H22" t="str">
        <f>IF([2]!Tabla1[[#This Row],[GOLES_LOCAL_REAL]]="","",[2]!Tabla1[[#This Row],[GOLES_LOCAL_REAL]])</f>
        <v/>
      </c>
      <c r="I22" t="str">
        <f>IF([2]!Tabla1[[#This Row],[GOLES_VISITANTE_REAL]]="","",[2]!Tabla1[[#This Row],[GOLES_VISITANTE_REAL]])</f>
        <v/>
      </c>
    </row>
    <row r="23" spans="1:13" x14ac:dyDescent="0.25">
      <c r="A23" s="297" t="str">
        <f t="shared" si="0"/>
        <v>D4</v>
      </c>
      <c r="B23" s="4" t="str">
        <f>MID('Grupo D'!$C$2,7,1)</f>
        <v>D</v>
      </c>
      <c r="C23" s="4">
        <v>4</v>
      </c>
      <c r="D23" t="str">
        <f>'Grupo D'!G$12</f>
        <v>Francia</v>
      </c>
      <c r="E23" s="717">
        <v>2</v>
      </c>
      <c r="F23" t="str">
        <f>'Grupo D'!I$12</f>
        <v>Dinamarca</v>
      </c>
      <c r="G23">
        <v>1</v>
      </c>
      <c r="H23" t="str">
        <f>IF([2]!Tabla1[[#This Row],[GOLES_LOCAL_REAL]]="","",[2]!Tabla1[[#This Row],[GOLES_LOCAL_REAL]])</f>
        <v/>
      </c>
      <c r="I23" t="str">
        <f>IF([2]!Tabla1[[#This Row],[GOLES_VISITANTE_REAL]]="","",[2]!Tabla1[[#This Row],[GOLES_VISITANTE_REAL]])</f>
        <v/>
      </c>
    </row>
    <row r="24" spans="1:13" x14ac:dyDescent="0.25">
      <c r="A24" s="297" t="str">
        <f t="shared" si="0"/>
        <v>D5</v>
      </c>
      <c r="B24" s="4" t="str">
        <f>MID('Grupo D'!$C$2,7,1)</f>
        <v>D</v>
      </c>
      <c r="C24" s="4">
        <v>5</v>
      </c>
      <c r="D24" t="str">
        <f>'Grupo D'!G$14</f>
        <v>Australia</v>
      </c>
      <c r="E24" s="717">
        <v>1</v>
      </c>
      <c r="F24" t="str">
        <f>'Grupo D'!I$14</f>
        <v>Dinamarca</v>
      </c>
      <c r="G24">
        <v>2</v>
      </c>
      <c r="H24" t="str">
        <f>IF([2]!Tabla1[[#This Row],[GOLES_LOCAL_REAL]]="","",[2]!Tabla1[[#This Row],[GOLES_LOCAL_REAL]])</f>
        <v/>
      </c>
      <c r="I24" t="str">
        <f>IF([2]!Tabla1[[#This Row],[GOLES_VISITANTE_REAL]]="","",[2]!Tabla1[[#This Row],[GOLES_VISITANTE_REAL]])</f>
        <v/>
      </c>
    </row>
    <row r="25" spans="1:13" x14ac:dyDescent="0.25">
      <c r="A25" s="297" t="str">
        <f t="shared" si="0"/>
        <v>D6</v>
      </c>
      <c r="B25" s="4" t="str">
        <f>MID('Grupo D'!$C$2,7,1)</f>
        <v>D</v>
      </c>
      <c r="C25" s="4">
        <v>6</v>
      </c>
      <c r="D25" t="str">
        <f>'Grupo D'!G$16</f>
        <v>Túnez</v>
      </c>
      <c r="E25" s="717">
        <v>0</v>
      </c>
      <c r="F25" t="str">
        <f>'Grupo D'!I$16</f>
        <v>Francia</v>
      </c>
      <c r="G25">
        <v>3</v>
      </c>
      <c r="H25" t="str">
        <f>IF([2]!Tabla1[[#This Row],[GOLES_LOCAL_REAL]]="","",[2]!Tabla1[[#This Row],[GOLES_LOCAL_REAL]])</f>
        <v/>
      </c>
      <c r="I25" t="str">
        <f>IF([2]!Tabla1[[#This Row],[GOLES_VISITANTE_REAL]]="","",[2]!Tabla1[[#This Row],[GOLES_VISITANTE_REAL]])</f>
        <v/>
      </c>
    </row>
    <row r="26" spans="1:13" x14ac:dyDescent="0.25">
      <c r="A26" s="297" t="str">
        <f t="shared" si="0"/>
        <v>E1</v>
      </c>
      <c r="B26" s="297" t="s">
        <v>14</v>
      </c>
      <c r="C26" s="4">
        <v>1</v>
      </c>
      <c r="D26" t="str">
        <f>'Grupo E'!G$6</f>
        <v>España</v>
      </c>
      <c r="E26" s="717">
        <v>2</v>
      </c>
      <c r="F26" t="str">
        <f>'Grupo E'!I$6</f>
        <v>Costa Rica</v>
      </c>
      <c r="G26">
        <v>0</v>
      </c>
      <c r="H26" t="str">
        <f>IF([2]!Tabla1[[#This Row],[GOLES_LOCAL_REAL]]="","",[2]!Tabla1[[#This Row],[GOLES_LOCAL_REAL]])</f>
        <v/>
      </c>
      <c r="I26" t="str">
        <f>IF([2]!Tabla1[[#This Row],[GOLES_VISITANTE_REAL]]="","",[2]!Tabla1[[#This Row],[GOLES_VISITANTE_REAL]])</f>
        <v/>
      </c>
    </row>
    <row r="27" spans="1:13" x14ac:dyDescent="0.25">
      <c r="A27" s="297" t="str">
        <f t="shared" si="0"/>
        <v>E2</v>
      </c>
      <c r="B27" s="297" t="s">
        <v>14</v>
      </c>
      <c r="C27" s="4">
        <v>2</v>
      </c>
      <c r="D27" t="str">
        <f>'Grupo E'!G$8</f>
        <v>Alemania</v>
      </c>
      <c r="E27" s="717">
        <v>4</v>
      </c>
      <c r="F27" t="str">
        <f>'Grupo E'!I$8</f>
        <v>Japón</v>
      </c>
      <c r="G27">
        <v>1</v>
      </c>
      <c r="H27" t="str">
        <f>IF([2]!Tabla1[[#This Row],[GOLES_LOCAL_REAL]]="","",[2]!Tabla1[[#This Row],[GOLES_LOCAL_REAL]])</f>
        <v/>
      </c>
      <c r="I27" t="str">
        <f>IF([2]!Tabla1[[#This Row],[GOLES_VISITANTE_REAL]]="","",[2]!Tabla1[[#This Row],[GOLES_VISITANTE_REAL]])</f>
        <v/>
      </c>
    </row>
    <row r="28" spans="1:13" x14ac:dyDescent="0.25">
      <c r="A28" s="297" t="str">
        <f t="shared" si="0"/>
        <v>E3</v>
      </c>
      <c r="B28" s="297" t="s">
        <v>14</v>
      </c>
      <c r="C28" s="4">
        <v>3</v>
      </c>
      <c r="D28" t="str">
        <f>'Grupo E'!G$10</f>
        <v>Japón</v>
      </c>
      <c r="E28" s="717">
        <v>1</v>
      </c>
      <c r="F28" t="str">
        <f>'Grupo E'!I$10</f>
        <v>Costa Rica</v>
      </c>
      <c r="G28">
        <v>1</v>
      </c>
      <c r="H28" t="str">
        <f>IF([2]!Tabla1[[#This Row],[GOLES_LOCAL_REAL]]="","",[2]!Tabla1[[#This Row],[GOLES_LOCAL_REAL]])</f>
        <v/>
      </c>
      <c r="I28" t="str">
        <f>IF([2]!Tabla1[[#This Row],[GOLES_VISITANTE_REAL]]="","",[2]!Tabla1[[#This Row],[GOLES_VISITANTE_REAL]])</f>
        <v/>
      </c>
    </row>
    <row r="29" spans="1:13" x14ac:dyDescent="0.25">
      <c r="A29" s="297" t="str">
        <f t="shared" si="0"/>
        <v>E4</v>
      </c>
      <c r="B29" s="297" t="s">
        <v>14</v>
      </c>
      <c r="C29" s="4">
        <v>4</v>
      </c>
      <c r="D29" t="str">
        <f>'Grupo E'!G$12</f>
        <v>España</v>
      </c>
      <c r="E29" s="717">
        <v>1</v>
      </c>
      <c r="F29" t="str">
        <f>'Grupo E'!I$12</f>
        <v>Alemania</v>
      </c>
      <c r="G29">
        <v>1</v>
      </c>
      <c r="H29" t="str">
        <f>IF([2]!Tabla1[[#This Row],[GOLES_LOCAL_REAL]]="","",[2]!Tabla1[[#This Row],[GOLES_LOCAL_REAL]])</f>
        <v/>
      </c>
      <c r="I29" t="str">
        <f>IF([2]!Tabla1[[#This Row],[GOLES_VISITANTE_REAL]]="","",[2]!Tabla1[[#This Row],[GOLES_VISITANTE_REAL]])</f>
        <v/>
      </c>
    </row>
    <row r="30" spans="1:13" x14ac:dyDescent="0.25">
      <c r="A30" s="297" t="str">
        <f t="shared" si="0"/>
        <v>E5</v>
      </c>
      <c r="B30" s="297" t="s">
        <v>14</v>
      </c>
      <c r="C30" s="4">
        <v>5</v>
      </c>
      <c r="D30" t="str">
        <f>'Grupo E'!G$14</f>
        <v>Costa Rica</v>
      </c>
      <c r="E30" s="717">
        <v>1</v>
      </c>
      <c r="F30" t="str">
        <f>'Grupo E'!I$14</f>
        <v>Alemania</v>
      </c>
      <c r="G30">
        <v>3</v>
      </c>
      <c r="H30" t="str">
        <f>IF([2]!Tabla1[[#This Row],[GOLES_LOCAL_REAL]]="","",[2]!Tabla1[[#This Row],[GOLES_LOCAL_REAL]])</f>
        <v/>
      </c>
      <c r="I30" t="str">
        <f>IF([2]!Tabla1[[#This Row],[GOLES_VISITANTE_REAL]]="","",[2]!Tabla1[[#This Row],[GOLES_VISITANTE_REAL]])</f>
        <v/>
      </c>
    </row>
    <row r="31" spans="1:13" x14ac:dyDescent="0.25">
      <c r="A31" s="297" t="str">
        <f t="shared" si="0"/>
        <v>E6</v>
      </c>
      <c r="B31" s="297" t="s">
        <v>14</v>
      </c>
      <c r="C31" s="4">
        <v>6</v>
      </c>
      <c r="D31" t="str">
        <f>'Grupo E'!G$16</f>
        <v>Japón</v>
      </c>
      <c r="E31" s="717">
        <v>1</v>
      </c>
      <c r="F31" t="str">
        <f>'Grupo E'!I$16</f>
        <v>España</v>
      </c>
      <c r="G31">
        <v>3</v>
      </c>
      <c r="H31" t="str">
        <f>IF([2]!Tabla1[[#This Row],[GOLES_LOCAL_REAL]]="","",[2]!Tabla1[[#This Row],[GOLES_LOCAL_REAL]])</f>
        <v/>
      </c>
      <c r="I31" t="str">
        <f>IF([2]!Tabla1[[#This Row],[GOLES_VISITANTE_REAL]]="","",[2]!Tabla1[[#This Row],[GOLES_VISITANTE_REAL]])</f>
        <v/>
      </c>
    </row>
    <row r="32" spans="1:13" x14ac:dyDescent="0.25">
      <c r="A32" s="297" t="str">
        <f t="shared" si="0"/>
        <v>F1</v>
      </c>
      <c r="B32" s="297" t="s">
        <v>220</v>
      </c>
      <c r="C32" s="4">
        <v>1</v>
      </c>
      <c r="D32" t="str">
        <f>'Grupo F'!G$6</f>
        <v>Bélgica</v>
      </c>
      <c r="E32" s="717">
        <v>3</v>
      </c>
      <c r="F32" t="str">
        <f>'Grupo F'!I$6</f>
        <v>Canadá</v>
      </c>
      <c r="G32">
        <v>1</v>
      </c>
      <c r="H32" t="str">
        <f>IF([2]!Tabla1[[#This Row],[GOLES_LOCAL_REAL]]="","",[2]!Tabla1[[#This Row],[GOLES_LOCAL_REAL]])</f>
        <v/>
      </c>
      <c r="I32" t="str">
        <f>IF([2]!Tabla1[[#This Row],[GOLES_VISITANTE_REAL]]="","",[2]!Tabla1[[#This Row],[GOLES_VISITANTE_REAL]])</f>
        <v/>
      </c>
    </row>
    <row r="33" spans="1:9" x14ac:dyDescent="0.25">
      <c r="A33" s="297" t="str">
        <f t="shared" si="0"/>
        <v>F2</v>
      </c>
      <c r="B33" s="297" t="s">
        <v>220</v>
      </c>
      <c r="C33" s="4">
        <v>2</v>
      </c>
      <c r="D33" t="str">
        <f>'Grupo F'!G$8</f>
        <v>Marruecos</v>
      </c>
      <c r="E33" s="717">
        <v>0</v>
      </c>
      <c r="F33" t="str">
        <f>'Grupo F'!I$8</f>
        <v>Croacia</v>
      </c>
      <c r="G33">
        <v>2</v>
      </c>
      <c r="H33" t="str">
        <f>IF([2]!Tabla1[[#This Row],[GOLES_LOCAL_REAL]]="","",[2]!Tabla1[[#This Row],[GOLES_LOCAL_REAL]])</f>
        <v/>
      </c>
      <c r="I33" t="str">
        <f>IF([2]!Tabla1[[#This Row],[GOLES_VISITANTE_REAL]]="","",[2]!Tabla1[[#This Row],[GOLES_VISITANTE_REAL]])</f>
        <v/>
      </c>
    </row>
    <row r="34" spans="1:9" x14ac:dyDescent="0.25">
      <c r="A34" s="297" t="str">
        <f t="shared" si="0"/>
        <v>F3</v>
      </c>
      <c r="B34" s="297" t="s">
        <v>220</v>
      </c>
      <c r="C34" s="4">
        <v>3</v>
      </c>
      <c r="D34" t="str">
        <f>'Grupo F'!G$10</f>
        <v>Croacia</v>
      </c>
      <c r="E34" s="717">
        <v>2</v>
      </c>
      <c r="F34" t="str">
        <f>'Grupo F'!I$10</f>
        <v>Canadá</v>
      </c>
      <c r="G34">
        <v>1</v>
      </c>
      <c r="H34" t="str">
        <f>IF([2]!Tabla1[[#This Row],[GOLES_LOCAL_REAL]]="","",[2]!Tabla1[[#This Row],[GOLES_LOCAL_REAL]])</f>
        <v/>
      </c>
      <c r="I34" t="str">
        <f>IF([2]!Tabla1[[#This Row],[GOLES_VISITANTE_REAL]]="","",[2]!Tabla1[[#This Row],[GOLES_VISITANTE_REAL]])</f>
        <v/>
      </c>
    </row>
    <row r="35" spans="1:9" x14ac:dyDescent="0.25">
      <c r="A35" s="297" t="str">
        <f t="shared" si="0"/>
        <v>F4</v>
      </c>
      <c r="B35" s="297" t="s">
        <v>220</v>
      </c>
      <c r="C35" s="4">
        <v>4</v>
      </c>
      <c r="D35" t="str">
        <f>'Grupo F'!G$12</f>
        <v>Bélgica</v>
      </c>
      <c r="E35" s="717">
        <v>3</v>
      </c>
      <c r="F35" t="str">
        <f>'Grupo F'!I$12</f>
        <v>Marruecos</v>
      </c>
      <c r="G35">
        <v>0</v>
      </c>
      <c r="H35" t="str">
        <f>IF([2]!Tabla1[[#This Row],[GOLES_LOCAL_REAL]]="","",[2]!Tabla1[[#This Row],[GOLES_LOCAL_REAL]])</f>
        <v/>
      </c>
      <c r="I35" t="str">
        <f>IF([2]!Tabla1[[#This Row],[GOLES_VISITANTE_REAL]]="","",[2]!Tabla1[[#This Row],[GOLES_VISITANTE_REAL]])</f>
        <v/>
      </c>
    </row>
    <row r="36" spans="1:9" x14ac:dyDescent="0.25">
      <c r="A36" s="297" t="str">
        <f t="shared" si="0"/>
        <v>F5</v>
      </c>
      <c r="B36" s="297" t="s">
        <v>220</v>
      </c>
      <c r="C36" s="4">
        <v>5</v>
      </c>
      <c r="D36" t="str">
        <f>'Grupo F'!G$14</f>
        <v>Canadá</v>
      </c>
      <c r="E36" s="717">
        <v>1</v>
      </c>
      <c r="F36" t="str">
        <f>'Grupo F'!I$14</f>
        <v>Marruecos</v>
      </c>
      <c r="G36">
        <v>0</v>
      </c>
      <c r="H36" t="str">
        <f>IF([2]!Tabla1[[#This Row],[GOLES_LOCAL_REAL]]="","",[2]!Tabla1[[#This Row],[GOLES_LOCAL_REAL]])</f>
        <v/>
      </c>
      <c r="I36" t="str">
        <f>IF([2]!Tabla1[[#This Row],[GOLES_VISITANTE_REAL]]="","",[2]!Tabla1[[#This Row],[GOLES_VISITANTE_REAL]])</f>
        <v/>
      </c>
    </row>
    <row r="37" spans="1:9" x14ac:dyDescent="0.25">
      <c r="A37" s="297" t="str">
        <f t="shared" si="0"/>
        <v>F6</v>
      </c>
      <c r="B37" s="297" t="s">
        <v>220</v>
      </c>
      <c r="C37" s="4">
        <v>6</v>
      </c>
      <c r="D37" t="str">
        <f>'Grupo F'!G$16</f>
        <v>Croacia</v>
      </c>
      <c r="E37" s="717">
        <v>1</v>
      </c>
      <c r="F37" t="str">
        <f>'Grupo F'!I$16</f>
        <v>Bélgica</v>
      </c>
      <c r="G37">
        <v>2</v>
      </c>
      <c r="H37" t="str">
        <f>IF([2]!Tabla1[[#This Row],[GOLES_LOCAL_REAL]]="","",[2]!Tabla1[[#This Row],[GOLES_LOCAL_REAL]])</f>
        <v/>
      </c>
      <c r="I37" t="str">
        <f>IF([2]!Tabla1[[#This Row],[GOLES_VISITANTE_REAL]]="","",[2]!Tabla1[[#This Row],[GOLES_VISITANTE_REAL]])</f>
        <v/>
      </c>
    </row>
    <row r="38" spans="1:9" x14ac:dyDescent="0.25">
      <c r="A38" s="297" t="str">
        <f t="shared" si="0"/>
        <v>G1</v>
      </c>
      <c r="B38" s="297" t="s">
        <v>13</v>
      </c>
      <c r="C38" s="4">
        <v>1</v>
      </c>
      <c r="D38" t="str">
        <f>'Grupo G'!G$6</f>
        <v>Brasil</v>
      </c>
      <c r="E38" s="717">
        <v>4</v>
      </c>
      <c r="F38" t="str">
        <f>'Grupo G'!I$6</f>
        <v>Serbia</v>
      </c>
      <c r="G38">
        <v>1</v>
      </c>
      <c r="H38" t="str">
        <f>IF([2]!Tabla1[[#This Row],[GOLES_LOCAL_REAL]]="","",[2]!Tabla1[[#This Row],[GOLES_LOCAL_REAL]])</f>
        <v/>
      </c>
      <c r="I38" t="str">
        <f>IF([2]!Tabla1[[#This Row],[GOLES_VISITANTE_REAL]]="","",[2]!Tabla1[[#This Row],[GOLES_VISITANTE_REAL]])</f>
        <v/>
      </c>
    </row>
    <row r="39" spans="1:9" x14ac:dyDescent="0.25">
      <c r="A39" s="297" t="str">
        <f t="shared" si="0"/>
        <v>G2</v>
      </c>
      <c r="B39" s="297" t="s">
        <v>13</v>
      </c>
      <c r="C39" s="4">
        <v>2</v>
      </c>
      <c r="D39" t="str">
        <f>'Grupo G'!G$8</f>
        <v>Suiza</v>
      </c>
      <c r="E39" s="717">
        <v>1</v>
      </c>
      <c r="F39" t="str">
        <f>'Grupo G'!I$8</f>
        <v>Camerún</v>
      </c>
      <c r="G39">
        <v>1</v>
      </c>
      <c r="H39" t="str">
        <f>IF([2]!Tabla1[[#This Row],[GOLES_LOCAL_REAL]]="","",[2]!Tabla1[[#This Row],[GOLES_LOCAL_REAL]])</f>
        <v/>
      </c>
      <c r="I39" t="str">
        <f>IF([2]!Tabla1[[#This Row],[GOLES_VISITANTE_REAL]]="","",[2]!Tabla1[[#This Row],[GOLES_VISITANTE_REAL]])</f>
        <v/>
      </c>
    </row>
    <row r="40" spans="1:9" x14ac:dyDescent="0.25">
      <c r="A40" s="297" t="str">
        <f t="shared" si="0"/>
        <v>G3</v>
      </c>
      <c r="B40" s="297" t="s">
        <v>13</v>
      </c>
      <c r="C40" s="4">
        <v>3</v>
      </c>
      <c r="D40" t="str">
        <f>'Grupo G'!G$10</f>
        <v>Camerún</v>
      </c>
      <c r="E40" s="717">
        <v>1</v>
      </c>
      <c r="F40" t="str">
        <f>'Grupo G'!I$10</f>
        <v>Serbia</v>
      </c>
      <c r="G40">
        <v>1</v>
      </c>
      <c r="H40" t="str">
        <f>IF([2]!Tabla1[[#This Row],[GOLES_LOCAL_REAL]]="","",[2]!Tabla1[[#This Row],[GOLES_LOCAL_REAL]])</f>
        <v/>
      </c>
      <c r="I40" t="str">
        <f>IF([2]!Tabla1[[#This Row],[GOLES_VISITANTE_REAL]]="","",[2]!Tabla1[[#This Row],[GOLES_VISITANTE_REAL]])</f>
        <v/>
      </c>
    </row>
    <row r="41" spans="1:9" x14ac:dyDescent="0.25">
      <c r="A41" s="297" t="str">
        <f t="shared" si="0"/>
        <v>G4</v>
      </c>
      <c r="B41" s="297" t="s">
        <v>13</v>
      </c>
      <c r="C41" s="4">
        <v>4</v>
      </c>
      <c r="D41" t="str">
        <f>'Grupo G'!G$12</f>
        <v>Brasil</v>
      </c>
      <c r="E41" s="717">
        <v>3</v>
      </c>
      <c r="F41" t="str">
        <f>'Grupo G'!I$12</f>
        <v>Suiza</v>
      </c>
      <c r="G41">
        <v>0</v>
      </c>
      <c r="H41" t="str">
        <f>IF([2]!Tabla1[[#This Row],[GOLES_LOCAL_REAL]]="","",[2]!Tabla1[[#This Row],[GOLES_LOCAL_REAL]])</f>
        <v/>
      </c>
      <c r="I41" t="str">
        <f>IF([2]!Tabla1[[#This Row],[GOLES_VISITANTE_REAL]]="","",[2]!Tabla1[[#This Row],[GOLES_VISITANTE_REAL]])</f>
        <v/>
      </c>
    </row>
    <row r="42" spans="1:9" x14ac:dyDescent="0.25">
      <c r="A42" s="297" t="str">
        <f t="shared" si="0"/>
        <v>G5</v>
      </c>
      <c r="B42" s="297" t="s">
        <v>13</v>
      </c>
      <c r="C42" s="4">
        <v>5</v>
      </c>
      <c r="D42" t="str">
        <f>'Grupo G'!G$14</f>
        <v>Serbia</v>
      </c>
      <c r="E42" s="717">
        <v>2</v>
      </c>
      <c r="F42" t="str">
        <f>'Grupo G'!I$14</f>
        <v>Suiza</v>
      </c>
      <c r="G42">
        <v>2</v>
      </c>
      <c r="H42" t="str">
        <f>IF([2]!Tabla1[[#This Row],[GOLES_LOCAL_REAL]]="","",[2]!Tabla1[[#This Row],[GOLES_LOCAL_REAL]])</f>
        <v/>
      </c>
      <c r="I42" t="str">
        <f>IF([2]!Tabla1[[#This Row],[GOLES_VISITANTE_REAL]]="","",[2]!Tabla1[[#This Row],[GOLES_VISITANTE_REAL]])</f>
        <v/>
      </c>
    </row>
    <row r="43" spans="1:9" x14ac:dyDescent="0.25">
      <c r="A43" s="297" t="str">
        <f t="shared" si="0"/>
        <v>G6</v>
      </c>
      <c r="B43" s="297" t="s">
        <v>13</v>
      </c>
      <c r="C43" s="4">
        <v>6</v>
      </c>
      <c r="D43" t="str">
        <f>'Grupo G'!G$16</f>
        <v>Camerún</v>
      </c>
      <c r="E43" s="717">
        <v>1</v>
      </c>
      <c r="F43" t="str">
        <f>'Grupo G'!I$16</f>
        <v>Brasil</v>
      </c>
      <c r="G43">
        <v>3</v>
      </c>
      <c r="H43" t="str">
        <f>IF([2]!Tabla1[[#This Row],[GOLES_LOCAL_REAL]]="","",[2]!Tabla1[[#This Row],[GOLES_LOCAL_REAL]])</f>
        <v/>
      </c>
      <c r="I43" t="str">
        <f>IF([2]!Tabla1[[#This Row],[GOLES_VISITANTE_REAL]]="","",[2]!Tabla1[[#This Row],[GOLES_VISITANTE_REAL]])</f>
        <v/>
      </c>
    </row>
    <row r="44" spans="1:9" x14ac:dyDescent="0.25">
      <c r="A44" s="297" t="str">
        <f t="shared" si="0"/>
        <v>H1</v>
      </c>
      <c r="B44" s="297" t="s">
        <v>221</v>
      </c>
      <c r="C44" s="4">
        <v>1</v>
      </c>
      <c r="D44" t="str">
        <f>'Grupo H'!G$6</f>
        <v>Portugal</v>
      </c>
      <c r="E44" s="717">
        <v>2</v>
      </c>
      <c r="F44" t="str">
        <f>'Grupo H'!I$6</f>
        <v>Ghana</v>
      </c>
      <c r="G44">
        <v>0</v>
      </c>
      <c r="H44" t="str">
        <f>IF([2]!Tabla1[[#This Row],[GOLES_LOCAL_REAL]]="","",[2]!Tabla1[[#This Row],[GOLES_LOCAL_REAL]])</f>
        <v/>
      </c>
      <c r="I44" t="str">
        <f>IF([2]!Tabla1[[#This Row],[GOLES_VISITANTE_REAL]]="","",[2]!Tabla1[[#This Row],[GOLES_VISITANTE_REAL]])</f>
        <v/>
      </c>
    </row>
    <row r="45" spans="1:9" x14ac:dyDescent="0.25">
      <c r="A45" s="297" t="str">
        <f t="shared" si="0"/>
        <v>H2</v>
      </c>
      <c r="B45" s="297" t="s">
        <v>221</v>
      </c>
      <c r="C45" s="4">
        <v>2</v>
      </c>
      <c r="D45" t="str">
        <f>'Grupo H'!G$8</f>
        <v>Uruguay</v>
      </c>
      <c r="E45" s="717">
        <v>3</v>
      </c>
      <c r="F45" t="str">
        <f>'Grupo H'!I$8</f>
        <v>Corea del Sur</v>
      </c>
      <c r="G45">
        <v>1</v>
      </c>
      <c r="H45" t="str">
        <f>IF([2]!Tabla1[[#This Row],[GOLES_LOCAL_REAL]]="","",[2]!Tabla1[[#This Row],[GOLES_LOCAL_REAL]])</f>
        <v/>
      </c>
      <c r="I45" t="str">
        <f>IF([2]!Tabla1[[#This Row],[GOLES_VISITANTE_REAL]]="","",[2]!Tabla1[[#This Row],[GOLES_VISITANTE_REAL]])</f>
        <v/>
      </c>
    </row>
    <row r="46" spans="1:9" x14ac:dyDescent="0.25">
      <c r="A46" s="297" t="str">
        <f t="shared" si="0"/>
        <v>H3</v>
      </c>
      <c r="B46" s="297" t="s">
        <v>221</v>
      </c>
      <c r="C46" s="4">
        <v>3</v>
      </c>
      <c r="D46" t="str">
        <f>'Grupo H'!G$10</f>
        <v>Corea del Sur</v>
      </c>
      <c r="E46" s="717">
        <v>1</v>
      </c>
      <c r="F46" t="str">
        <f>'Grupo H'!I$10</f>
        <v>Ghana</v>
      </c>
      <c r="G46">
        <v>3</v>
      </c>
      <c r="H46" t="str">
        <f>IF([2]!Tabla1[[#This Row],[GOLES_LOCAL_REAL]]="","",[2]!Tabla1[[#This Row],[GOLES_LOCAL_REAL]])</f>
        <v/>
      </c>
      <c r="I46" t="str">
        <f>IF([2]!Tabla1[[#This Row],[GOLES_VISITANTE_REAL]]="","",[2]!Tabla1[[#This Row],[GOLES_VISITANTE_REAL]])</f>
        <v/>
      </c>
    </row>
    <row r="47" spans="1:9" x14ac:dyDescent="0.25">
      <c r="A47" s="297" t="str">
        <f t="shared" si="0"/>
        <v>H4</v>
      </c>
      <c r="B47" s="297" t="s">
        <v>221</v>
      </c>
      <c r="C47" s="4">
        <v>4</v>
      </c>
      <c r="D47" t="str">
        <f>'Grupo H'!G$12</f>
        <v>Portugal</v>
      </c>
      <c r="E47" s="717">
        <v>2</v>
      </c>
      <c r="F47" t="str">
        <f>'Grupo H'!I$12</f>
        <v>Uruguay</v>
      </c>
      <c r="G47">
        <v>2</v>
      </c>
      <c r="H47" t="str">
        <f>IF([2]!Tabla1[[#This Row],[GOLES_LOCAL_REAL]]="","",[2]!Tabla1[[#This Row],[GOLES_LOCAL_REAL]])</f>
        <v/>
      </c>
      <c r="I47" t="str">
        <f>IF([2]!Tabla1[[#This Row],[GOLES_VISITANTE_REAL]]="","",[2]!Tabla1[[#This Row],[GOLES_VISITANTE_REAL]])</f>
        <v/>
      </c>
    </row>
    <row r="48" spans="1:9" x14ac:dyDescent="0.25">
      <c r="A48" s="297" t="str">
        <f t="shared" si="0"/>
        <v>H5</v>
      </c>
      <c r="B48" s="297" t="s">
        <v>221</v>
      </c>
      <c r="C48" s="4">
        <v>5</v>
      </c>
      <c r="D48" t="str">
        <f>'Grupo H'!G$14</f>
        <v>Ghana</v>
      </c>
      <c r="E48" s="717">
        <v>1</v>
      </c>
      <c r="F48" t="str">
        <f>'Grupo H'!I$14</f>
        <v>Uruguay</v>
      </c>
      <c r="G48">
        <v>1</v>
      </c>
      <c r="H48" t="str">
        <f>IF([2]!Tabla1[[#This Row],[GOLES_LOCAL_REAL]]="","",[2]!Tabla1[[#This Row],[GOLES_LOCAL_REAL]])</f>
        <v/>
      </c>
      <c r="I48" t="str">
        <f>IF([2]!Tabla1[[#This Row],[GOLES_VISITANTE_REAL]]="","",[2]!Tabla1[[#This Row],[GOLES_VISITANTE_REAL]])</f>
        <v/>
      </c>
    </row>
    <row r="49" spans="1:9" x14ac:dyDescent="0.25">
      <c r="A49" s="297" t="str">
        <f t="shared" si="0"/>
        <v>H6</v>
      </c>
      <c r="B49" s="297" t="s">
        <v>221</v>
      </c>
      <c r="C49" s="4">
        <v>6</v>
      </c>
      <c r="D49" t="str">
        <f>'Grupo H'!G$16</f>
        <v>Corea del Sur</v>
      </c>
      <c r="E49" s="717">
        <v>0</v>
      </c>
      <c r="F49" t="str">
        <f>'Grupo H'!I$16</f>
        <v>Portugal</v>
      </c>
      <c r="G49">
        <v>2</v>
      </c>
      <c r="H49" t="str">
        <f>IF([2]!Tabla1[[#This Row],[GOLES_LOCAL_REAL]]="","",[2]!Tabla1[[#This Row],[GOLES_LOCAL_REAL]])</f>
        <v/>
      </c>
      <c r="I49" t="str">
        <f>IF([2]!Tabla1[[#This Row],[GOLES_VISITANTE_REAL]]="","",[2]!Tabla1[[#This Row],[GOLES_VISITANTE_REAL]])</f>
        <v/>
      </c>
    </row>
    <row r="50" spans="1:9" x14ac:dyDescent="0.25">
      <c r="A50" s="297" t="str">
        <f>CONCATENATE(B50,C50)</f>
        <v>OF1</v>
      </c>
      <c r="B50" s="297" t="s">
        <v>222</v>
      </c>
      <c r="C50" s="297">
        <v>1</v>
      </c>
      <c r="D50" t="str">
        <f>'Cuadro Final'!C5</f>
        <v>Qatar</v>
      </c>
      <c r="E50" s="717">
        <v>0</v>
      </c>
      <c r="F50" t="str">
        <f>'Cuadro Final'!C10</f>
        <v>Gales</v>
      </c>
      <c r="G50">
        <v>0</v>
      </c>
      <c r="H50" t="str">
        <f>IF([2]!Tabla1[[#This Row],[GOLES_LOCAL_REAL]]="","",[2]!Tabla1[[#This Row],[GOLES_LOCAL_REAL]])</f>
        <v/>
      </c>
      <c r="I50" t="str">
        <f>IF([2]!Tabla1[[#This Row],[GOLES_VISITANTE_REAL]]="","",[2]!Tabla1[[#This Row],[GOLES_VISITANTE_REAL]])</f>
        <v/>
      </c>
    </row>
    <row r="51" spans="1:9" x14ac:dyDescent="0.25">
      <c r="A51" s="297" t="str">
        <f t="shared" si="0"/>
        <v>OF2</v>
      </c>
      <c r="B51" s="297" t="s">
        <v>222</v>
      </c>
      <c r="C51" s="297">
        <v>2</v>
      </c>
      <c r="D51" t="str">
        <f>'Cuadro Final'!C13</f>
        <v>Argentina</v>
      </c>
      <c r="E51" s="717">
        <v>0</v>
      </c>
      <c r="F51" t="str">
        <f>'Cuadro Final'!C18</f>
        <v>Túnez</v>
      </c>
      <c r="G51">
        <v>0</v>
      </c>
      <c r="H51" t="str">
        <f>IF([2]!Tabla1[[#This Row],[GOLES_LOCAL_REAL]]="","",[2]!Tabla1[[#This Row],[GOLES_LOCAL_REAL]])</f>
        <v/>
      </c>
      <c r="I51" t="str">
        <f>IF([2]!Tabla1[[#This Row],[GOLES_VISITANTE_REAL]]="","",[2]!Tabla1[[#This Row],[GOLES_VISITANTE_REAL]])</f>
        <v/>
      </c>
    </row>
    <row r="52" spans="1:9" x14ac:dyDescent="0.25">
      <c r="A52" s="297" t="str">
        <f t="shared" si="0"/>
        <v>OF3</v>
      </c>
      <c r="B52" s="297" t="s">
        <v>222</v>
      </c>
      <c r="C52" s="297">
        <v>3</v>
      </c>
      <c r="D52" t="str">
        <f>'Cuadro Final'!C21</f>
        <v>España</v>
      </c>
      <c r="E52" s="717">
        <v>0</v>
      </c>
      <c r="F52" t="str">
        <f>'Cuadro Final'!C26</f>
        <v>Croacia</v>
      </c>
      <c r="G52">
        <v>0</v>
      </c>
      <c r="H52" t="str">
        <f>IF([2]!Tabla1[[#This Row],[GOLES_LOCAL_REAL]]="","",[2]!Tabla1[[#This Row],[GOLES_LOCAL_REAL]])</f>
        <v/>
      </c>
      <c r="I52" t="str">
        <f>IF([2]!Tabla1[[#This Row],[GOLES_VISITANTE_REAL]]="","",[2]!Tabla1[[#This Row],[GOLES_VISITANTE_REAL]])</f>
        <v/>
      </c>
    </row>
    <row r="53" spans="1:9" x14ac:dyDescent="0.25">
      <c r="A53" s="297" t="str">
        <f t="shared" si="0"/>
        <v>OF4</v>
      </c>
      <c r="B53" s="297" t="s">
        <v>222</v>
      </c>
      <c r="C53" s="297">
        <v>4</v>
      </c>
      <c r="D53" t="str">
        <f>'Cuadro Final'!C29</f>
        <v>Brasil</v>
      </c>
      <c r="E53" s="717">
        <v>0</v>
      </c>
      <c r="F53" t="str">
        <f>'Cuadro Final'!C34</f>
        <v>Corea del Sur</v>
      </c>
      <c r="G53">
        <v>0</v>
      </c>
      <c r="H53" t="str">
        <f>IF([2]!Tabla1[[#This Row],[GOLES_LOCAL_REAL]]="","",[2]!Tabla1[[#This Row],[GOLES_LOCAL_REAL]])</f>
        <v/>
      </c>
      <c r="I53" t="str">
        <f>IF([2]!Tabla1[[#This Row],[GOLES_VISITANTE_REAL]]="","",[2]!Tabla1[[#This Row],[GOLES_VISITANTE_REAL]])</f>
        <v/>
      </c>
    </row>
    <row r="54" spans="1:9" x14ac:dyDescent="0.25">
      <c r="A54" s="297" t="str">
        <f t="shared" si="0"/>
        <v>OF5</v>
      </c>
      <c r="B54" s="297" t="s">
        <v>222</v>
      </c>
      <c r="C54" s="297">
        <v>5</v>
      </c>
      <c r="D54" t="str">
        <f>'Cuadro Final'!AA5</f>
        <v>Inglaterra</v>
      </c>
      <c r="E54" s="717">
        <v>0</v>
      </c>
      <c r="F54" t="str">
        <f>'Cuadro Final'!AA10</f>
        <v>Senegal</v>
      </c>
      <c r="G54">
        <v>0</v>
      </c>
      <c r="H54" t="str">
        <f>IF([2]!Tabla1[[#This Row],[GOLES_LOCAL_REAL]]="","",[2]!Tabla1[[#This Row],[GOLES_LOCAL_REAL]])</f>
        <v/>
      </c>
      <c r="I54" t="str">
        <f>IF([2]!Tabla1[[#This Row],[GOLES_VISITANTE_REAL]]="","",[2]!Tabla1[[#This Row],[GOLES_VISITANTE_REAL]])</f>
        <v/>
      </c>
    </row>
    <row r="55" spans="1:9" x14ac:dyDescent="0.25">
      <c r="A55" s="297" t="str">
        <f t="shared" si="0"/>
        <v>OF6</v>
      </c>
      <c r="B55" s="297" t="s">
        <v>222</v>
      </c>
      <c r="C55" s="297">
        <v>6</v>
      </c>
      <c r="D55" t="str">
        <f>'Cuadro Final'!AA13</f>
        <v>Francia</v>
      </c>
      <c r="E55" s="717">
        <v>0</v>
      </c>
      <c r="F55" t="str">
        <f>'Cuadro Final'!AA18</f>
        <v>México</v>
      </c>
      <c r="G55">
        <v>0</v>
      </c>
      <c r="H55" t="str">
        <f>IF([2]!Tabla1[[#This Row],[GOLES_LOCAL_REAL]]="","",[2]!Tabla1[[#This Row],[GOLES_LOCAL_REAL]])</f>
        <v/>
      </c>
      <c r="I55" t="str">
        <f>IF([2]!Tabla1[[#This Row],[GOLES_VISITANTE_REAL]]="","",[2]!Tabla1[[#This Row],[GOLES_VISITANTE_REAL]])</f>
        <v/>
      </c>
    </row>
    <row r="56" spans="1:9" x14ac:dyDescent="0.25">
      <c r="A56" s="297" t="str">
        <f t="shared" si="0"/>
        <v>OF7</v>
      </c>
      <c r="B56" s="297" t="s">
        <v>222</v>
      </c>
      <c r="C56" s="297">
        <v>7</v>
      </c>
      <c r="D56" t="str">
        <f>'Cuadro Final'!AA21</f>
        <v>Bélgica</v>
      </c>
      <c r="E56" s="717">
        <v>0</v>
      </c>
      <c r="F56" t="str">
        <f>'Cuadro Final'!AA26</f>
        <v>Japón</v>
      </c>
      <c r="G56">
        <v>0</v>
      </c>
      <c r="H56" t="str">
        <f>IF([2]!Tabla1[[#This Row],[GOLES_LOCAL_REAL]]="","",[2]!Tabla1[[#This Row],[GOLES_LOCAL_REAL]])</f>
        <v/>
      </c>
      <c r="I56" t="str">
        <f>IF([2]!Tabla1[[#This Row],[GOLES_VISITANTE_REAL]]="","",[2]!Tabla1[[#This Row],[GOLES_VISITANTE_REAL]])</f>
        <v/>
      </c>
    </row>
    <row r="57" spans="1:9" x14ac:dyDescent="0.25">
      <c r="A57" s="297" t="str">
        <f t="shared" si="0"/>
        <v>OF8</v>
      </c>
      <c r="B57" s="297" t="s">
        <v>222</v>
      </c>
      <c r="C57" s="297">
        <v>8</v>
      </c>
      <c r="D57" t="str">
        <f>'Cuadro Final'!AA29</f>
        <v>Portugal</v>
      </c>
      <c r="E57" s="717">
        <v>0</v>
      </c>
      <c r="F57" t="str">
        <f>'Cuadro Final'!AA34</f>
        <v>Camerún</v>
      </c>
      <c r="G57">
        <v>0</v>
      </c>
      <c r="H57" t="str">
        <f>IF([2]!Tabla1[[#This Row],[GOLES_LOCAL_REAL]]="","",[2]!Tabla1[[#This Row],[GOLES_LOCAL_REAL]])</f>
        <v/>
      </c>
      <c r="I57" t="str">
        <f>IF([2]!Tabla1[[#This Row],[GOLES_VISITANTE_REAL]]="","",[2]!Tabla1[[#This Row],[GOLES_VISITANTE_REAL]])</f>
        <v/>
      </c>
    </row>
    <row r="58" spans="1:9" x14ac:dyDescent="0.25">
      <c r="A58" s="297" t="str">
        <f t="shared" si="0"/>
        <v>CF1</v>
      </c>
      <c r="B58" s="297" t="s">
        <v>223</v>
      </c>
      <c r="C58" s="297">
        <v>1</v>
      </c>
      <c r="D58">
        <f>'Cuadro Final'!F7</f>
        <v>0</v>
      </c>
      <c r="E58" s="717">
        <v>0</v>
      </c>
      <c r="F58">
        <f>'Cuadro Final'!F15</f>
        <v>0</v>
      </c>
      <c r="G58">
        <v>0</v>
      </c>
      <c r="H58" t="str">
        <f>IF([2]!Tabla1[[#This Row],[GOLES_LOCAL_REAL]]="","",[2]!Tabla1[[#This Row],[GOLES_LOCAL_REAL]])</f>
        <v/>
      </c>
      <c r="I58" t="str">
        <f>IF([2]!Tabla1[[#This Row],[GOLES_VISITANTE_REAL]]="","",[2]!Tabla1[[#This Row],[GOLES_VISITANTE_REAL]])</f>
        <v/>
      </c>
    </row>
    <row r="59" spans="1:9" x14ac:dyDescent="0.25">
      <c r="A59" s="297" t="str">
        <f t="shared" si="0"/>
        <v>CF2</v>
      </c>
      <c r="B59" s="297" t="s">
        <v>223</v>
      </c>
      <c r="C59" s="297">
        <v>2</v>
      </c>
      <c r="D59">
        <f>'Cuadro Final'!F23</f>
        <v>0</v>
      </c>
      <c r="E59" s="717">
        <v>0</v>
      </c>
      <c r="F59">
        <f>'Cuadro Final'!F31</f>
        <v>0</v>
      </c>
      <c r="G59">
        <v>0</v>
      </c>
      <c r="H59" t="str">
        <f>IF([2]!Tabla1[[#This Row],[GOLES_LOCAL_REAL]]="","",[2]!Tabla1[[#This Row],[GOLES_LOCAL_REAL]])</f>
        <v/>
      </c>
      <c r="I59" t="str">
        <f>IF([2]!Tabla1[[#This Row],[GOLES_VISITANTE_REAL]]="","",[2]!Tabla1[[#This Row],[GOLES_VISITANTE_REAL]])</f>
        <v/>
      </c>
    </row>
    <row r="60" spans="1:9" x14ac:dyDescent="0.25">
      <c r="A60" s="297" t="str">
        <f t="shared" si="0"/>
        <v>CF3</v>
      </c>
      <c r="B60" s="297" t="s">
        <v>223</v>
      </c>
      <c r="C60" s="297">
        <v>3</v>
      </c>
      <c r="D60">
        <f>'Cuadro Final'!X7</f>
        <v>0</v>
      </c>
      <c r="E60" s="717">
        <v>0</v>
      </c>
      <c r="F60">
        <f>'Cuadro Final'!X15</f>
        <v>0</v>
      </c>
      <c r="G60">
        <v>0</v>
      </c>
      <c r="H60" t="str">
        <f>IF([2]!Tabla1[[#This Row],[GOLES_LOCAL_REAL]]="","",[2]!Tabla1[[#This Row],[GOLES_LOCAL_REAL]])</f>
        <v/>
      </c>
      <c r="I60" t="str">
        <f>IF([2]!Tabla1[[#This Row],[GOLES_VISITANTE_REAL]]="","",[2]!Tabla1[[#This Row],[GOLES_VISITANTE_REAL]])</f>
        <v/>
      </c>
    </row>
    <row r="61" spans="1:9" x14ac:dyDescent="0.25">
      <c r="A61" s="297" t="str">
        <f t="shared" si="0"/>
        <v>CF4</v>
      </c>
      <c r="B61" s="297" t="s">
        <v>223</v>
      </c>
      <c r="C61" s="297">
        <v>4</v>
      </c>
      <c r="D61">
        <f>'Cuadro Final'!X23</f>
        <v>0</v>
      </c>
      <c r="E61" s="717">
        <v>0</v>
      </c>
      <c r="F61">
        <f>'Cuadro Final'!X31</f>
        <v>0</v>
      </c>
      <c r="G61">
        <v>0</v>
      </c>
      <c r="H61" t="str">
        <f>IF([2]!Tabla1[[#This Row],[GOLES_LOCAL_REAL]]="","",[2]!Tabla1[[#This Row],[GOLES_LOCAL_REAL]])</f>
        <v/>
      </c>
      <c r="I61" t="str">
        <f>IF([2]!Tabla1[[#This Row],[GOLES_VISITANTE_REAL]]="","",[2]!Tabla1[[#This Row],[GOLES_VISITANTE_REAL]])</f>
        <v/>
      </c>
    </row>
    <row r="62" spans="1:9" x14ac:dyDescent="0.25">
      <c r="A62" s="297" t="str">
        <f t="shared" si="0"/>
        <v>SF1</v>
      </c>
      <c r="B62" s="297" t="s">
        <v>224</v>
      </c>
      <c r="C62" s="297">
        <v>1</v>
      </c>
      <c r="D62">
        <f>'Cuadro Final'!I11</f>
        <v>0</v>
      </c>
      <c r="E62" s="717">
        <v>0</v>
      </c>
      <c r="F62">
        <f>'Cuadro Final'!I27</f>
        <v>0</v>
      </c>
      <c r="G62">
        <v>0</v>
      </c>
      <c r="H62" t="str">
        <f>IF([2]!Tabla1[[#This Row],[GOLES_LOCAL_REAL]]="","",[2]!Tabla1[[#This Row],[GOLES_LOCAL_REAL]])</f>
        <v/>
      </c>
      <c r="I62" t="str">
        <f>IF([2]!Tabla1[[#This Row],[GOLES_VISITANTE_REAL]]="","",[2]!Tabla1[[#This Row],[GOLES_VISITANTE_REAL]])</f>
        <v/>
      </c>
    </row>
    <row r="63" spans="1:9" x14ac:dyDescent="0.25">
      <c r="A63" s="297" t="str">
        <f t="shared" si="0"/>
        <v>SF2</v>
      </c>
      <c r="B63" s="297" t="s">
        <v>224</v>
      </c>
      <c r="C63" s="297">
        <v>2</v>
      </c>
      <c r="D63">
        <f>'Cuadro Final'!U11</f>
        <v>0</v>
      </c>
      <c r="E63" s="717">
        <v>0</v>
      </c>
      <c r="F63">
        <f>'Cuadro Final'!U27</f>
        <v>0</v>
      </c>
      <c r="G63">
        <v>0</v>
      </c>
      <c r="H63" t="str">
        <f>IF([2]!Tabla1[[#This Row],[GOLES_LOCAL_REAL]]="","",[2]!Tabla1[[#This Row],[GOLES_LOCAL_REAL]])</f>
        <v/>
      </c>
      <c r="I63" t="str">
        <f>IF([2]!Tabla1[[#This Row],[GOLES_VISITANTE_REAL]]="","",[2]!Tabla1[[#This Row],[GOLES_VISITANTE_REAL]])</f>
        <v/>
      </c>
    </row>
    <row r="64" spans="1:9" x14ac:dyDescent="0.25">
      <c r="A64" s="297" t="str">
        <f t="shared" si="0"/>
        <v>3F1</v>
      </c>
      <c r="B64" s="297" t="s">
        <v>225</v>
      </c>
      <c r="C64" s="297">
        <v>1</v>
      </c>
      <c r="D64">
        <f>'Cuadro Final'!L32</f>
        <v>0</v>
      </c>
      <c r="E64" s="717">
        <v>0</v>
      </c>
      <c r="F64">
        <f>'Cuadro Final'!R32</f>
        <v>0</v>
      </c>
      <c r="G64">
        <v>0</v>
      </c>
      <c r="H64" t="str">
        <f>IF([2]!Tabla1[[#This Row],[GOLES_LOCAL_REAL]]="","",[2]!Tabla1[[#This Row],[GOLES_LOCAL_REAL]])</f>
        <v/>
      </c>
      <c r="I64" t="str">
        <f>IF([2]!Tabla1[[#This Row],[GOLES_VISITANTE_REAL]]="","",[2]!Tabla1[[#This Row],[GOLES_VISITANTE_REAL]])</f>
        <v/>
      </c>
    </row>
    <row r="65" spans="1:9" x14ac:dyDescent="0.25">
      <c r="A65" s="297" t="str">
        <f t="shared" si="0"/>
        <v>1F1</v>
      </c>
      <c r="B65" s="297" t="s">
        <v>45</v>
      </c>
      <c r="C65" s="297">
        <v>1</v>
      </c>
      <c r="D65">
        <f>'Cuadro Final'!L19</f>
        <v>0</v>
      </c>
      <c r="E65" s="717">
        <v>0</v>
      </c>
      <c r="F65">
        <f>'Cuadro Final'!R19</f>
        <v>0</v>
      </c>
      <c r="G65">
        <v>0</v>
      </c>
      <c r="H65" t="str">
        <f>IF([2]!Tabla1[[#This Row],[GOLES_LOCAL_REAL]]="","",[2]!Tabla1[[#This Row],[GOLES_LOCAL_REAL]])</f>
        <v/>
      </c>
      <c r="I65" t="str">
        <f>IF([2]!Tabla1[[#This Row],[GOLES_VISITANTE_REAL]]="","",[2]!Tabla1[[#This Row],[GOLES_VISITANTE_REAL]])</f>
        <v/>
      </c>
    </row>
  </sheetData>
  <sheetProtection algorithmName="SHA-512" hashValue="lBPvMaT85V3cXc80X71KpfcedGd7bAe0gOb6Jv7s1F7tJPu2LjaPQwbWCLnn6IZVfT7OgdTPHALQ7DtgyFE6hA==" saltValue="qW5RjL8K/94Uj/nYSTYaeg==" spinCount="100000" sheet="1" objects="1" scenarios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tabSelected="1" zoomScale="80" zoomScaleNormal="80" workbookViewId="0">
      <selection activeCell="J7" sqref="J7"/>
    </sheetView>
  </sheetViews>
  <sheetFormatPr baseColWidth="10" defaultColWidth="11.5703125" defaultRowHeight="15" x14ac:dyDescent="0.25"/>
  <cols>
    <col min="1" max="1" width="1" style="38" customWidth="1"/>
    <col min="2" max="2" width="6.85546875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05" t="s">
        <v>6</v>
      </c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7"/>
    </row>
    <row r="3" spans="2:46" ht="15.75" customHeight="1" thickBot="1" x14ac:dyDescent="0.3">
      <c r="C3" s="408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10"/>
    </row>
    <row r="4" spans="2:46" x14ac:dyDescent="0.25">
      <c r="C4" s="419" t="s">
        <v>28</v>
      </c>
      <c r="D4" s="420"/>
      <c r="E4" s="420"/>
      <c r="F4" s="420"/>
      <c r="G4" s="420"/>
      <c r="H4" s="420"/>
      <c r="I4" s="420"/>
      <c r="J4" s="421"/>
      <c r="K4" s="425" t="s">
        <v>24</v>
      </c>
      <c r="L4" s="412"/>
      <c r="M4" s="426"/>
      <c r="N4" s="411" t="s">
        <v>21</v>
      </c>
      <c r="O4" s="412"/>
      <c r="P4" s="412"/>
      <c r="Q4" s="412"/>
      <c r="R4" s="412"/>
      <c r="S4" s="412"/>
      <c r="T4" s="412"/>
      <c r="U4" s="412"/>
      <c r="V4" s="413"/>
    </row>
    <row r="5" spans="2:46" ht="15.75" thickBot="1" x14ac:dyDescent="0.3">
      <c r="C5" s="170" t="s">
        <v>0</v>
      </c>
      <c r="D5" s="298" t="s">
        <v>1</v>
      </c>
      <c r="E5" s="298" t="s">
        <v>196</v>
      </c>
      <c r="F5" s="298" t="s">
        <v>2</v>
      </c>
      <c r="G5" s="417" t="s">
        <v>3</v>
      </c>
      <c r="H5" s="417"/>
      <c r="I5" s="417"/>
      <c r="J5" s="418"/>
      <c r="K5" s="315" t="s">
        <v>9</v>
      </c>
      <c r="L5" s="178" t="s">
        <v>10</v>
      </c>
      <c r="M5" s="179" t="s">
        <v>11</v>
      </c>
      <c r="N5" s="414"/>
      <c r="O5" s="415"/>
      <c r="P5" s="415"/>
      <c r="Q5" s="415"/>
      <c r="R5" s="415"/>
      <c r="S5" s="415"/>
      <c r="T5" s="415"/>
      <c r="U5" s="415"/>
      <c r="V5" s="416"/>
    </row>
    <row r="6" spans="2:46" ht="15.75" thickBot="1" x14ac:dyDescent="0.3">
      <c r="B6" s="38" t="str">
        <f>CONCATENATE(MID($C$2,7,1),1)</f>
        <v>A1</v>
      </c>
      <c r="C6" s="422">
        <v>44885</v>
      </c>
      <c r="D6" s="423">
        <v>0.45833333333333331</v>
      </c>
      <c r="E6" s="424" t="s">
        <v>192</v>
      </c>
      <c r="F6" s="168" t="s">
        <v>7</v>
      </c>
      <c r="G6" s="368" t="str">
        <f>Z16</f>
        <v>Qatar</v>
      </c>
      <c r="H6" s="706">
        <f>VLOOKUP($B$6,DB_PARTIDOS!$A$1:$I$65,5)</f>
        <v>1</v>
      </c>
      <c r="I6" s="368" t="str">
        <f>Z19</f>
        <v>Ecuador</v>
      </c>
      <c r="J6" s="706">
        <f>VLOOKUP($B$6,DB_PARTIDOS!$A$1:$I$65,7)</f>
        <v>1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194" t="s">
        <v>12</v>
      </c>
      <c r="O6" s="113" t="s">
        <v>13</v>
      </c>
      <c r="P6" s="113" t="s">
        <v>14</v>
      </c>
      <c r="Q6" s="113" t="s">
        <v>15</v>
      </c>
      <c r="R6" s="113" t="s">
        <v>16</v>
      </c>
      <c r="S6" s="113" t="s">
        <v>17</v>
      </c>
      <c r="T6" s="113" t="s">
        <v>18</v>
      </c>
      <c r="U6" s="113" t="s">
        <v>19</v>
      </c>
      <c r="V6" s="114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375"/>
      <c r="D7" s="377"/>
      <c r="E7" s="379"/>
      <c r="F7" s="213" t="s">
        <v>8</v>
      </c>
      <c r="G7" s="366"/>
      <c r="H7" s="216"/>
      <c r="I7" s="366"/>
      <c r="J7" s="216"/>
      <c r="K7" s="396"/>
      <c r="L7" s="396"/>
      <c r="M7" s="403"/>
      <c r="N7" s="398" t="str">
        <f>Z21</f>
        <v>Qatar</v>
      </c>
      <c r="O7" s="379">
        <f t="shared" ref="O7:U7" si="0">AA21</f>
        <v>0</v>
      </c>
      <c r="P7" s="379">
        <f t="shared" si="0"/>
        <v>0</v>
      </c>
      <c r="Q7" s="379">
        <f t="shared" si="0"/>
        <v>0</v>
      </c>
      <c r="R7" s="379">
        <f t="shared" si="0"/>
        <v>0</v>
      </c>
      <c r="S7" s="379">
        <f t="shared" si="0"/>
        <v>0</v>
      </c>
      <c r="T7" s="379">
        <f t="shared" si="0"/>
        <v>0</v>
      </c>
      <c r="U7" s="379">
        <f t="shared" si="0"/>
        <v>0</v>
      </c>
      <c r="V7" s="397">
        <f>AH21</f>
        <v>0</v>
      </c>
      <c r="Z7" s="385" t="str">
        <f>Z16</f>
        <v>Qatar</v>
      </c>
      <c r="AA7" s="393">
        <f>SUM(IF(AND($H$7&lt;&gt;"",$J$7&lt;&gt;"",$H$7&gt;$J$7),1,0)+IF(AND($H$11&lt;&gt;"",$J$11&lt;&gt;"",$H$11&gt;$J$11),1,0)+IF(AND($H$15&lt;&gt;"",$J$15&lt;&gt;"",$J$15&gt;$H$15),1,0))</f>
        <v>0</v>
      </c>
      <c r="AB7" s="393">
        <f>SUM(IF(AND($H$7&lt;&gt;"",$J$7&lt;&gt;"",$H$7=$J$7),1,0)+IF(AND($H$11&lt;&gt;"",$J$11&lt;&gt;"",$H$11=$J$11),1,0)+IF(AND($H$15&lt;&gt;"",$J$15&lt;&gt;"",$J$15=$H$15),1,0))</f>
        <v>0</v>
      </c>
      <c r="AC7" s="393">
        <f>SUM(IF(AND($H$7&lt;&gt;"",$J$7&lt;&gt;"",$H$7&lt;$J$7),1,0)+IF(AND($H$11&lt;&gt;"",$J$11&lt;&gt;"",$H$11&lt;$J$11),1,0)+IF(AND($H$15&lt;&gt;"",$J$15&lt;&gt;"",$J$15&lt;$H$15),1,0))</f>
        <v>0</v>
      </c>
      <c r="AD7" s="393">
        <f>SUM($H$7,$H$11,$J$15)</f>
        <v>0</v>
      </c>
      <c r="AE7" s="393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A2</v>
      </c>
      <c r="C8" s="375">
        <v>44886</v>
      </c>
      <c r="D8" s="377">
        <v>0.45833333333333331</v>
      </c>
      <c r="E8" s="379" t="s">
        <v>193</v>
      </c>
      <c r="F8" s="169" t="s">
        <v>7</v>
      </c>
      <c r="G8" s="366" t="str">
        <f>Z17</f>
        <v>Senegal</v>
      </c>
      <c r="H8" s="707">
        <f>VLOOKUP(B8,DB_PARTIDOS!$A$1:$I$65,5)</f>
        <v>0</v>
      </c>
      <c r="I8" s="366" t="str">
        <f>Z18</f>
        <v>Países Bajos</v>
      </c>
      <c r="J8" s="707">
        <f>VLOOKUP($B$8,DB_PARTIDOS!$A$1:$I$65,7)</f>
        <v>3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398"/>
      <c r="O8" s="379"/>
      <c r="P8" s="379"/>
      <c r="Q8" s="379"/>
      <c r="R8" s="379"/>
      <c r="S8" s="379"/>
      <c r="T8" s="379"/>
      <c r="U8" s="379"/>
      <c r="V8" s="397"/>
      <c r="Z8" s="386"/>
      <c r="AA8" s="389"/>
      <c r="AB8" s="389"/>
      <c r="AC8" s="389"/>
      <c r="AD8" s="389"/>
      <c r="AE8" s="38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375"/>
      <c r="D9" s="377"/>
      <c r="E9" s="379"/>
      <c r="F9" s="213" t="s">
        <v>8</v>
      </c>
      <c r="G9" s="366"/>
      <c r="H9" s="216"/>
      <c r="I9" s="366"/>
      <c r="J9" s="216"/>
      <c r="K9" s="396"/>
      <c r="L9" s="396"/>
      <c r="M9" s="403"/>
      <c r="N9" s="398" t="str">
        <f>Z22</f>
        <v>Senegal</v>
      </c>
      <c r="O9" s="379">
        <f t="shared" ref="O9:V9" si="1">AA22</f>
        <v>0</v>
      </c>
      <c r="P9" s="379">
        <f t="shared" si="1"/>
        <v>0</v>
      </c>
      <c r="Q9" s="379">
        <f t="shared" si="1"/>
        <v>0</v>
      </c>
      <c r="R9" s="379">
        <f t="shared" si="1"/>
        <v>0</v>
      </c>
      <c r="S9" s="379">
        <f t="shared" si="1"/>
        <v>0</v>
      </c>
      <c r="T9" s="379">
        <f t="shared" si="1"/>
        <v>0</v>
      </c>
      <c r="U9" s="379">
        <f t="shared" si="1"/>
        <v>0</v>
      </c>
      <c r="V9" s="397">
        <f t="shared" si="1"/>
        <v>0</v>
      </c>
      <c r="Z9" s="387" t="str">
        <f>Z17</f>
        <v>Senegal</v>
      </c>
      <c r="AA9" s="389">
        <f>SUM(IF(AND($H$9&lt;&gt;"",$J$9&lt;&gt;"",$H$9&gt;$J$9),1,0)+IF(AND($H$11&lt;&gt;"",$J$11&lt;&gt;"",$J$11&gt;$H$11),1,0)+IF(AND($H$17&lt;&gt;"",$J$17&lt;&gt;"",$J$17&gt;$H$17),1,0))</f>
        <v>0</v>
      </c>
      <c r="AB9" s="389">
        <f>SUM(IF(AND($H$9&lt;&gt;"",$J$9&lt;&gt;"",$H$9=$J$9),1,0)+IF(AND($H$11&lt;&gt;"",$J$11&lt;&gt;"",$H$11=$J$11),1,0)+IF(AND($H$17&lt;&gt;"",$J$17&lt;&gt;"",$J$17=$H$17),1,0))</f>
        <v>0</v>
      </c>
      <c r="AC9" s="389">
        <f>SUM(IF(AND($H$9&lt;&gt;"",$J$9&lt;&gt;"",$H$9&lt;$J$9),1,0)+IF(AND($H$11&lt;&gt;"",$J$11&lt;&gt;"",$J$11&lt;$H$11),1,0)+IF(AND($H$17&lt;&gt;"",$J$17&lt;&gt;"",$J$17&lt;$H$17),1,0))</f>
        <v>0</v>
      </c>
      <c r="AD9" s="389">
        <f>SUM($H$9,$J$11,$J$17)</f>
        <v>0</v>
      </c>
      <c r="AE9" s="389">
        <f>SUM($J$9,$H$11,$H$17)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A3</v>
      </c>
      <c r="C10" s="375">
        <v>44890</v>
      </c>
      <c r="D10" s="377">
        <v>0.33333333333333331</v>
      </c>
      <c r="E10" s="381" t="s">
        <v>193</v>
      </c>
      <c r="F10" s="169" t="s">
        <v>7</v>
      </c>
      <c r="G10" s="366" t="str">
        <f>Z16</f>
        <v>Qatar</v>
      </c>
      <c r="H10" s="707">
        <f>VLOOKUP(B10,DB_PARTIDOS!$A$1:$I$65,5)</f>
        <v>1</v>
      </c>
      <c r="I10" s="366" t="str">
        <f>Z17</f>
        <v>Senegal</v>
      </c>
      <c r="J10" s="707">
        <f>VLOOKUP($B$10,DB_PARTIDOS!$A$1:$I$65,7)</f>
        <v>0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398"/>
      <c r="O10" s="379"/>
      <c r="P10" s="379"/>
      <c r="Q10" s="379"/>
      <c r="R10" s="379"/>
      <c r="S10" s="379"/>
      <c r="T10" s="379"/>
      <c r="U10" s="379"/>
      <c r="V10" s="397"/>
      <c r="Z10" s="388"/>
      <c r="AA10" s="389"/>
      <c r="AB10" s="389"/>
      <c r="AC10" s="389"/>
      <c r="AD10" s="389"/>
      <c r="AE10" s="38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375"/>
      <c r="D11" s="377"/>
      <c r="E11" s="381"/>
      <c r="F11" s="213" t="s">
        <v>8</v>
      </c>
      <c r="G11" s="366"/>
      <c r="H11" s="216"/>
      <c r="I11" s="366"/>
      <c r="J11" s="216"/>
      <c r="K11" s="396"/>
      <c r="L11" s="396"/>
      <c r="M11" s="403"/>
      <c r="N11" s="398" t="str">
        <f>Z23</f>
        <v>Países Bajos</v>
      </c>
      <c r="O11" s="379">
        <f t="shared" ref="O11:V11" si="2">AA23</f>
        <v>0</v>
      </c>
      <c r="P11" s="379">
        <f t="shared" si="2"/>
        <v>0</v>
      </c>
      <c r="Q11" s="379">
        <f t="shared" si="2"/>
        <v>0</v>
      </c>
      <c r="R11" s="379">
        <f t="shared" si="2"/>
        <v>0</v>
      </c>
      <c r="S11" s="379">
        <f t="shared" si="2"/>
        <v>0</v>
      </c>
      <c r="T11" s="379">
        <f t="shared" si="2"/>
        <v>0</v>
      </c>
      <c r="U11" s="379">
        <f t="shared" si="2"/>
        <v>0</v>
      </c>
      <c r="V11" s="397">
        <f t="shared" si="2"/>
        <v>0</v>
      </c>
      <c r="Z11" s="386" t="str">
        <f>Z18</f>
        <v>Países Bajos</v>
      </c>
      <c r="AA11" s="389">
        <f>SUM(IF(AND($H$9&lt;&gt;"",$J$9&lt;&gt;"",$J$9&gt;$H$9),1,0)+IF(AND($H$13&lt;&gt;"",$J$13&lt;&gt;"",$H$13&gt;$J$13),1,0)+IF(AND($H$15&lt;&gt;"",$J$15&lt;&gt;"",$H$15&gt;$J$15),1,0))</f>
        <v>0</v>
      </c>
      <c r="AB11" s="389">
        <f>SUM(IF(AND($H$9&lt;&gt;"",$J$9&lt;&gt;"",$H$9=$J$9),1,0)+IF(AND($H$13&lt;&gt;"",$J$13&lt;&gt;"",$H$13=$J$13),1,0)+IF(AND($H$15&lt;&gt;"",$J$15&lt;&gt;"",$J$15=$H$15),1,0))</f>
        <v>0</v>
      </c>
      <c r="AC11" s="389">
        <f>SUM(IF(AND($H$9&lt;&gt;"",$J$9&lt;&gt;"",$J$9&lt;$H$9),1,0)+IF(AND($H$13&lt;&gt;"",$J$13&lt;&gt;"",$H$13&lt;$J$13),1,0)+IF(AND($H$15&lt;&gt;"",$J$15&lt;&gt;"",$H$15&lt;$J$15),1,0))</f>
        <v>0</v>
      </c>
      <c r="AD11" s="389">
        <f>SUM($J$9,$H$13,$H$15)</f>
        <v>0</v>
      </c>
      <c r="AE11" s="389">
        <f>SUM($H$9,$J$13,$J$15)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x14ac:dyDescent="0.25">
      <c r="B12" s="38" t="str">
        <f>CONCATENATE(MID($C$2,7,1),4)</f>
        <v>A4</v>
      </c>
      <c r="C12" s="375">
        <v>44890</v>
      </c>
      <c r="D12" s="377">
        <v>0.45833333333333331</v>
      </c>
      <c r="E12" s="381" t="s">
        <v>194</v>
      </c>
      <c r="F12" s="169" t="s">
        <v>7</v>
      </c>
      <c r="G12" s="366" t="str">
        <f>Z18</f>
        <v>Países Bajos</v>
      </c>
      <c r="H12" s="707">
        <f>VLOOKUP(B12,DB_PARTIDOS!$A$1:$I$65,5)</f>
        <v>2</v>
      </c>
      <c r="I12" s="366" t="str">
        <f>Z19</f>
        <v>Ecuador</v>
      </c>
      <c r="J12" s="707">
        <f>VLOOKUP($B$12,DB_PARTIDOS!$A$1:$I$65,7)</f>
        <v>0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398"/>
      <c r="O12" s="379"/>
      <c r="P12" s="379"/>
      <c r="Q12" s="379"/>
      <c r="R12" s="379"/>
      <c r="S12" s="379"/>
      <c r="T12" s="379"/>
      <c r="U12" s="379"/>
      <c r="V12" s="397"/>
      <c r="Z12" s="386"/>
      <c r="AA12" s="389"/>
      <c r="AB12" s="389"/>
      <c r="AC12" s="389"/>
      <c r="AD12" s="389"/>
      <c r="AE12" s="38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375"/>
      <c r="D13" s="377"/>
      <c r="E13" s="381"/>
      <c r="F13" s="213" t="s">
        <v>8</v>
      </c>
      <c r="G13" s="366"/>
      <c r="H13" s="216"/>
      <c r="I13" s="366"/>
      <c r="J13" s="216"/>
      <c r="K13" s="396"/>
      <c r="L13" s="396"/>
      <c r="M13" s="403"/>
      <c r="N13" s="398" t="str">
        <f>Z24</f>
        <v>Ecuador</v>
      </c>
      <c r="O13" s="379">
        <f t="shared" ref="O13:V13" si="3">AA24</f>
        <v>0</v>
      </c>
      <c r="P13" s="379">
        <f t="shared" si="3"/>
        <v>0</v>
      </c>
      <c r="Q13" s="379">
        <f t="shared" si="3"/>
        <v>0</v>
      </c>
      <c r="R13" s="379">
        <f t="shared" si="3"/>
        <v>0</v>
      </c>
      <c r="S13" s="379">
        <f t="shared" si="3"/>
        <v>0</v>
      </c>
      <c r="T13" s="379">
        <f t="shared" si="3"/>
        <v>0</v>
      </c>
      <c r="U13" s="379">
        <f t="shared" si="3"/>
        <v>0</v>
      </c>
      <c r="V13" s="397">
        <f t="shared" si="3"/>
        <v>0</v>
      </c>
      <c r="Z13" s="386" t="str">
        <f>Z19</f>
        <v>Ecuador</v>
      </c>
      <c r="AA13" s="389">
        <f>SUM(IF(AND($H$7&lt;&gt;"",$J$7&lt;&gt;"",$J$7&gt;$H$7),1,0)+IF(AND($H$13&lt;&gt;"",$J$13&lt;&gt;"",$J$13&gt;$H$13),1,0)+IF(AND($H$17&lt;&gt;"",$J$17&lt;&gt;"",$H$17&gt;$J$17),1,0))</f>
        <v>0</v>
      </c>
      <c r="AB13" s="389">
        <f>SUM(IF(AND($H$7&lt;&gt;"",$J$7&lt;&gt;"",$H$7=$J$7),1,0)+IF(AND($H$13&lt;&gt;"",$J$13&lt;&gt;"",$H$13=$J$13),1,0)+IF(AND($H$17&lt;&gt;"",$J$17&lt;&gt;"",$H$17=$J$17),1,0))</f>
        <v>0</v>
      </c>
      <c r="AC13" s="389">
        <f>SUM(IF(AND($H$7&lt;&gt;"",$J$7&lt;&gt;"",$J$7&lt;$H$7),1,0)+IF(AND($H$13&lt;&gt;"",$J$13&lt;&gt;"",$J$13&lt;$H$13),1,0)+IF(AND($H$17&lt;&gt;"",$J$17&lt;&gt;"",$H$17&lt;$J$17),1,0))</f>
        <v>0</v>
      </c>
      <c r="AD13" s="389">
        <f>SUM($J$7,$J$13,$H$17)</f>
        <v>0</v>
      </c>
      <c r="AE13" s="389">
        <f>SUM($H$7,$H$13,$J$17)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A5</v>
      </c>
      <c r="C14" s="375">
        <v>44894</v>
      </c>
      <c r="D14" s="377">
        <v>0.41666666666666669</v>
      </c>
      <c r="E14" s="379" t="s">
        <v>192</v>
      </c>
      <c r="F14" s="169" t="s">
        <v>7</v>
      </c>
      <c r="G14" s="366" t="str">
        <f>Z18</f>
        <v>Países Bajos</v>
      </c>
      <c r="H14" s="707">
        <f>VLOOKUP(B14,DB_PARTIDOS!$A$1:$I$65,5)</f>
        <v>2</v>
      </c>
      <c r="I14" s="366" t="str">
        <f>Z16</f>
        <v>Qatar</v>
      </c>
      <c r="J14" s="707">
        <f>VLOOKUP($B$14,DB_PARTIDOS!$A$1:$I$65,7)</f>
        <v>0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399"/>
      <c r="O14" s="400"/>
      <c r="P14" s="400"/>
      <c r="Q14" s="400"/>
      <c r="R14" s="400"/>
      <c r="S14" s="400"/>
      <c r="T14" s="400"/>
      <c r="U14" s="400"/>
      <c r="V14" s="401"/>
      <c r="Z14" s="387"/>
      <c r="AA14" s="391"/>
      <c r="AB14" s="391"/>
      <c r="AC14" s="391"/>
      <c r="AD14" s="391"/>
      <c r="AE14" s="391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375"/>
      <c r="D15" s="377"/>
      <c r="E15" s="379"/>
      <c r="F15" s="213" t="s">
        <v>8</v>
      </c>
      <c r="G15" s="366"/>
      <c r="H15" s="216"/>
      <c r="I15" s="366"/>
      <c r="J15" s="216"/>
      <c r="K15" s="396"/>
      <c r="L15" s="396"/>
      <c r="M15" s="403"/>
      <c r="N15" s="195" t="s">
        <v>26</v>
      </c>
      <c r="O15" s="383" t="s">
        <v>22</v>
      </c>
      <c r="P15" s="383"/>
      <c r="Q15" s="383"/>
      <c r="R15" s="383"/>
      <c r="S15" s="383" t="s">
        <v>23</v>
      </c>
      <c r="T15" s="383"/>
      <c r="U15" s="383"/>
      <c r="V15" s="129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A6</v>
      </c>
      <c r="C16" s="375">
        <v>44894</v>
      </c>
      <c r="D16" s="377">
        <v>0.41666666666666669</v>
      </c>
      <c r="E16" s="379" t="s">
        <v>194</v>
      </c>
      <c r="F16" s="169" t="s">
        <v>7</v>
      </c>
      <c r="G16" s="366" t="str">
        <f>Z19</f>
        <v>Ecuador</v>
      </c>
      <c r="H16" s="707">
        <f>VLOOKUP(B16,DB_PARTIDOS!$A$1:$I$65,5)</f>
        <v>1</v>
      </c>
      <c r="I16" s="366" t="str">
        <f>Z17</f>
        <v>Senegal</v>
      </c>
      <c r="J16" s="707">
        <f>VLOOKUP($B$16,DB_PARTIDOS!$A$1:$I$65,7)</f>
        <v>1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Países Bajos</v>
      </c>
      <c r="P16" s="711"/>
      <c r="Q16" s="711"/>
      <c r="R16" s="711"/>
      <c r="S16" s="712" t="str">
        <f>N7</f>
        <v>Qatar</v>
      </c>
      <c r="T16" s="712"/>
      <c r="U16" s="712"/>
      <c r="V16" s="306">
        <f>IF(OR(O16=S16,O16=S17),AC28,0)+IF(O16=S16,2,0)</f>
        <v>0</v>
      </c>
      <c r="X16" s="38" t="str">
        <f>CONCATENATE(MID($C$2,7,1),N16)</f>
        <v>A1</v>
      </c>
      <c r="Z16" s="61" t="s">
        <v>183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376"/>
      <c r="D17" s="378"/>
      <c r="E17" s="380"/>
      <c r="F17" s="214" t="s">
        <v>8</v>
      </c>
      <c r="G17" s="367"/>
      <c r="H17" s="215"/>
      <c r="I17" s="367"/>
      <c r="J17" s="215"/>
      <c r="K17" s="437"/>
      <c r="L17" s="437"/>
      <c r="M17" s="404"/>
      <c r="N17" s="713">
        <v>2</v>
      </c>
      <c r="O17" s="714" t="str">
        <f>VLOOKUP(X17,DB_PARTIDOS!$L$1:$M$17,2)</f>
        <v>Qatar</v>
      </c>
      <c r="P17" s="714"/>
      <c r="Q17" s="714"/>
      <c r="R17" s="714"/>
      <c r="S17" s="402" t="str">
        <f>N9</f>
        <v>Senegal</v>
      </c>
      <c r="T17" s="402"/>
      <c r="U17" s="402"/>
      <c r="V17" s="307">
        <f>IF(OR(O17=S17,O17=S16),AC28,0)+IF(O17=S17,2,0)</f>
        <v>2</v>
      </c>
      <c r="X17" s="38" t="str">
        <f>CONCATENATE(MID($C$2,7,1),N17)</f>
        <v>A2</v>
      </c>
      <c r="Z17" s="68" t="s">
        <v>155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185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74" t="s">
        <v>184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28"/>
      <c r="F21" s="28"/>
      <c r="G21" s="28"/>
      <c r="H21" s="28"/>
      <c r="I21" s="28"/>
      <c r="J21" s="428" t="s">
        <v>27</v>
      </c>
      <c r="K21" s="429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Qatar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9" t="s">
        <v>57</v>
      </c>
      <c r="D22" s="160" t="s">
        <v>26</v>
      </c>
      <c r="E22" s="28"/>
      <c r="F22" s="28"/>
      <c r="G22" s="28"/>
      <c r="H22" s="28"/>
      <c r="I22" s="28"/>
      <c r="J22" s="430"/>
      <c r="K22" s="431"/>
      <c r="L22" s="435"/>
      <c r="M22" s="1"/>
      <c r="N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Senegal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Qatar</v>
      </c>
      <c r="D23" s="109">
        <v>1</v>
      </c>
      <c r="E23" s="28"/>
      <c r="F23" s="28"/>
      <c r="G23" s="28"/>
      <c r="H23" s="28"/>
      <c r="I23" s="28"/>
      <c r="J23" s="432"/>
      <c r="K23" s="433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Países Bajos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Senegal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Ecuador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Países Bajos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Ecuador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algorithmName="SHA-512" hashValue="C1Rivvv8I0al7OjYvDxI4CrGPtuMJZ19SKmLYIDhfv/9gFenG7ZlsxNBM6n21VIC+B6mb69C6f1AOEzjmDNn2Q==" saltValue="d64QG8LY3kmkIuo/KvCPmA==" spinCount="100000" sheet="1" objects="1" scenarios="1" selectLockedCells="1"/>
  <sortState ref="N6:V9">
    <sortCondition descending="1" ref="U6:U9"/>
  </sortState>
  <mergeCells count="135">
    <mergeCell ref="J21:K23"/>
    <mergeCell ref="L21:L23"/>
    <mergeCell ref="O16:R16"/>
    <mergeCell ref="O17:R17"/>
    <mergeCell ref="K14:K15"/>
    <mergeCell ref="L14:L15"/>
    <mergeCell ref="K16:K17"/>
    <mergeCell ref="L16:L17"/>
    <mergeCell ref="N11:N12"/>
    <mergeCell ref="O11:O12"/>
    <mergeCell ref="P11:P12"/>
    <mergeCell ref="Q11:Q12"/>
    <mergeCell ref="R11:R12"/>
    <mergeCell ref="K12:K13"/>
    <mergeCell ref="L12:L13"/>
    <mergeCell ref="C2:V3"/>
    <mergeCell ref="N4:V5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G5:J5"/>
    <mergeCell ref="C4:J4"/>
    <mergeCell ref="C6:C7"/>
    <mergeCell ref="D6:D7"/>
    <mergeCell ref="E6:E7"/>
    <mergeCell ref="C8:C9"/>
    <mergeCell ref="G8:G9"/>
    <mergeCell ref="V9:V10"/>
    <mergeCell ref="K4:M4"/>
    <mergeCell ref="M6:M7"/>
    <mergeCell ref="K10:K11"/>
    <mergeCell ref="L10:L11"/>
    <mergeCell ref="K6:K7"/>
    <mergeCell ref="G10:G11"/>
    <mergeCell ref="G12:G13"/>
    <mergeCell ref="S16:U16"/>
    <mergeCell ref="S17:U17"/>
    <mergeCell ref="S15:U15"/>
    <mergeCell ref="O15:R15"/>
    <mergeCell ref="S11:S12"/>
    <mergeCell ref="T11:T12"/>
    <mergeCell ref="U11:U12"/>
    <mergeCell ref="N9:N10"/>
    <mergeCell ref="R9:R10"/>
    <mergeCell ref="O9:O10"/>
    <mergeCell ref="P9:P10"/>
    <mergeCell ref="Q9:Q10"/>
    <mergeCell ref="S9:S10"/>
    <mergeCell ref="T9:T10"/>
    <mergeCell ref="U9:U10"/>
    <mergeCell ref="M8:M9"/>
    <mergeCell ref="M10:M11"/>
    <mergeCell ref="M12:M13"/>
    <mergeCell ref="M14:M15"/>
    <mergeCell ref="M16:M17"/>
    <mergeCell ref="K8:K9"/>
    <mergeCell ref="L8:L9"/>
    <mergeCell ref="V11:V12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L6:L7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A7:AA8"/>
    <mergeCell ref="AB7:AB8"/>
    <mergeCell ref="AC7:AC8"/>
    <mergeCell ref="AD7:AD8"/>
    <mergeCell ref="AE7:AE8"/>
    <mergeCell ref="AA26:AC26"/>
    <mergeCell ref="Z7:Z8"/>
    <mergeCell ref="Z9:Z10"/>
    <mergeCell ref="Z11:Z12"/>
    <mergeCell ref="Z13:Z14"/>
    <mergeCell ref="AF11:AF12"/>
    <mergeCell ref="AG11:AG12"/>
    <mergeCell ref="AH11:AH12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A11:AA12"/>
    <mergeCell ref="AB11:AB12"/>
    <mergeCell ref="AC11:AC12"/>
    <mergeCell ref="AD11:AD12"/>
    <mergeCell ref="AE11:AE12"/>
    <mergeCell ref="AF7:AF8"/>
    <mergeCell ref="AG7:AG8"/>
    <mergeCell ref="AH7:AH8"/>
    <mergeCell ref="G14:G15"/>
    <mergeCell ref="G16:G17"/>
    <mergeCell ref="I6:I7"/>
    <mergeCell ref="I8:I9"/>
    <mergeCell ref="I10:I11"/>
    <mergeCell ref="I12:I13"/>
    <mergeCell ref="I14:I15"/>
    <mergeCell ref="I16:I17"/>
    <mergeCell ref="C19:D21"/>
    <mergeCell ref="C16:C17"/>
    <mergeCell ref="D16:D17"/>
    <mergeCell ref="E16:E17"/>
    <mergeCell ref="C12:C13"/>
    <mergeCell ref="D12:D13"/>
    <mergeCell ref="E12:E13"/>
    <mergeCell ref="C14:C15"/>
    <mergeCell ref="D14:D15"/>
    <mergeCell ref="E14:E15"/>
    <mergeCell ref="C10:C11"/>
    <mergeCell ref="D10:D11"/>
    <mergeCell ref="E10:E11"/>
    <mergeCell ref="D8:D9"/>
    <mergeCell ref="E8:E9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J7" sqref="J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42578125" style="112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7" width="11.42578125" style="38" customWidth="1"/>
    <col min="48" max="16384" width="11.5703125" style="38"/>
  </cols>
  <sheetData>
    <row r="1" spans="2:46" ht="4.5" customHeight="1" thickBot="1" x14ac:dyDescent="0.3"/>
    <row r="2" spans="2:46" ht="15" customHeight="1" x14ac:dyDescent="0.25">
      <c r="C2" s="462" t="s">
        <v>80</v>
      </c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4"/>
    </row>
    <row r="3" spans="2:46" ht="15.75" customHeight="1" thickBot="1" x14ac:dyDescent="0.3">
      <c r="C3" s="465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7"/>
    </row>
    <row r="4" spans="2:46" x14ac:dyDescent="0.25">
      <c r="C4" s="468" t="s">
        <v>28</v>
      </c>
      <c r="D4" s="469"/>
      <c r="E4" s="469"/>
      <c r="F4" s="469"/>
      <c r="G4" s="469"/>
      <c r="H4" s="469"/>
      <c r="I4" s="469"/>
      <c r="J4" s="470"/>
      <c r="K4" s="471" t="s">
        <v>24</v>
      </c>
      <c r="L4" s="472"/>
      <c r="M4" s="473"/>
      <c r="N4" s="474" t="s">
        <v>21</v>
      </c>
      <c r="O4" s="472"/>
      <c r="P4" s="472"/>
      <c r="Q4" s="472"/>
      <c r="R4" s="472"/>
      <c r="S4" s="472"/>
      <c r="T4" s="472"/>
      <c r="U4" s="472"/>
      <c r="V4" s="475"/>
    </row>
    <row r="5" spans="2:46" ht="15.75" thickBot="1" x14ac:dyDescent="0.3">
      <c r="C5" s="177" t="s">
        <v>0</v>
      </c>
      <c r="D5" s="299" t="s">
        <v>1</v>
      </c>
      <c r="E5" s="299" t="s">
        <v>196</v>
      </c>
      <c r="F5" s="299" t="s">
        <v>2</v>
      </c>
      <c r="G5" s="479" t="s">
        <v>3</v>
      </c>
      <c r="H5" s="479"/>
      <c r="I5" s="479"/>
      <c r="J5" s="480"/>
      <c r="K5" s="308" t="s">
        <v>9</v>
      </c>
      <c r="L5" s="192" t="s">
        <v>10</v>
      </c>
      <c r="M5" s="193" t="s">
        <v>11</v>
      </c>
      <c r="N5" s="476"/>
      <c r="O5" s="477"/>
      <c r="P5" s="477"/>
      <c r="Q5" s="477"/>
      <c r="R5" s="477"/>
      <c r="S5" s="477"/>
      <c r="T5" s="477"/>
      <c r="U5" s="477"/>
      <c r="V5" s="478"/>
    </row>
    <row r="6" spans="2:46" ht="15.75" thickBot="1" x14ac:dyDescent="0.3">
      <c r="B6" s="38" t="str">
        <f>CONCATENATE(MID($C$2,7,1),1)</f>
        <v>B1</v>
      </c>
      <c r="C6" s="481">
        <v>44886</v>
      </c>
      <c r="D6" s="482">
        <v>0.33333333333333331</v>
      </c>
      <c r="E6" s="483" t="s">
        <v>194</v>
      </c>
      <c r="F6" s="168" t="s">
        <v>7</v>
      </c>
      <c r="G6" s="440" t="str">
        <f>Z16</f>
        <v>Inglaterra</v>
      </c>
      <c r="H6" s="708">
        <f>VLOOKUP($B$6,DB_PARTIDOS!$A$1:$I$65,5)</f>
        <v>2</v>
      </c>
      <c r="I6" s="440" t="str">
        <f>Z19</f>
        <v>Irán</v>
      </c>
      <c r="J6" s="708">
        <f>VLOOKUP($B$6,DB_PARTIDOS!$A$1:$I$65,7)</f>
        <v>0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208" t="s">
        <v>12</v>
      </c>
      <c r="O6" s="127" t="s">
        <v>13</v>
      </c>
      <c r="P6" s="127" t="s">
        <v>14</v>
      </c>
      <c r="Q6" s="127" t="s">
        <v>15</v>
      </c>
      <c r="R6" s="127" t="s">
        <v>16</v>
      </c>
      <c r="S6" s="127" t="s">
        <v>17</v>
      </c>
      <c r="T6" s="127" t="s">
        <v>18</v>
      </c>
      <c r="U6" s="127" t="s">
        <v>19</v>
      </c>
      <c r="V6" s="12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47"/>
      <c r="D7" s="460"/>
      <c r="E7" s="450"/>
      <c r="F7" s="213" t="s">
        <v>8</v>
      </c>
      <c r="G7" s="438"/>
      <c r="H7" s="216"/>
      <c r="I7" s="438"/>
      <c r="J7" s="218"/>
      <c r="K7" s="396"/>
      <c r="L7" s="396"/>
      <c r="M7" s="403"/>
      <c r="N7" s="457" t="str">
        <f>Z21</f>
        <v>Inglaterra</v>
      </c>
      <c r="O7" s="453">
        <f t="shared" ref="O7:U7" si="0">AA21</f>
        <v>0</v>
      </c>
      <c r="P7" s="453">
        <f t="shared" si="0"/>
        <v>0</v>
      </c>
      <c r="Q7" s="453">
        <f t="shared" si="0"/>
        <v>0</v>
      </c>
      <c r="R7" s="453">
        <f t="shared" si="0"/>
        <v>0</v>
      </c>
      <c r="S7" s="453">
        <f t="shared" si="0"/>
        <v>0</v>
      </c>
      <c r="T7" s="453">
        <f t="shared" si="0"/>
        <v>0</v>
      </c>
      <c r="U7" s="453">
        <f t="shared" si="0"/>
        <v>0</v>
      </c>
      <c r="V7" s="455">
        <f>AH21</f>
        <v>0</v>
      </c>
      <c r="Z7" s="385" t="str">
        <f>Z16</f>
        <v>Inglaterra</v>
      </c>
      <c r="AA7" s="393">
        <f>SUM(IF(AND($H$7&lt;&gt;"",$J$7&lt;&gt;"",$H$7&gt;$J$7),1,0)+IF(AND($H$13&lt;&gt;"",$J$13&lt;&gt;"",$H$13&gt;$J$13),1,0)+IF(AND($H$17&lt;&gt;"",$J$17&lt;&gt;"",$J$17&gt;$H$17),1,0))</f>
        <v>0</v>
      </c>
      <c r="AB7" s="393">
        <f>SUM(IF(AND($H$7&lt;&gt;"",$J$7&lt;&gt;"",$H$7=$J$7),1,0)+IF(AND($H$13&lt;&gt;"",$J$13&lt;&gt;"",$H$13=$J$13),1,0)+IF(AND($H$17&lt;&gt;"",$J$17&lt;&gt;"",$J$17=$H$17),1,0))</f>
        <v>0</v>
      </c>
      <c r="AC7" s="393">
        <f>SUM(IF(AND($H$7&lt;&gt;"",$J$7&lt;&gt;"",$H$7&lt;$J$7),1,0)+IF(AND($H$13&lt;&gt;"",$J$13&lt;&gt;"",$H$13&lt;$J$13),1,0)+IF(AND($H$17&lt;&gt;"",$J$17&lt;&gt;"",$J$17&lt;$H$17),1,0))</f>
        <v>0</v>
      </c>
      <c r="AD7" s="393">
        <f>SUM($H$7,$H$13,$J$17)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B2</v>
      </c>
      <c r="C8" s="447">
        <v>44886</v>
      </c>
      <c r="D8" s="377">
        <v>0.58333333333333337</v>
      </c>
      <c r="E8" s="381" t="s">
        <v>195</v>
      </c>
      <c r="F8" s="169" t="s">
        <v>7</v>
      </c>
      <c r="G8" s="438" t="str">
        <f>Z18</f>
        <v>USA</v>
      </c>
      <c r="H8" s="709">
        <f>VLOOKUP(B8,DB_PARTIDOS!$A$1:$I$65,5)</f>
        <v>1</v>
      </c>
      <c r="I8" s="438" t="str">
        <f>Z17</f>
        <v>Gales</v>
      </c>
      <c r="J8" s="709">
        <f>VLOOKUP($B$8,DB_PARTIDOS!$A$1:$I$65,7)</f>
        <v>1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457"/>
      <c r="O8" s="453"/>
      <c r="P8" s="453"/>
      <c r="Q8" s="453"/>
      <c r="R8" s="453"/>
      <c r="S8" s="453"/>
      <c r="T8" s="453"/>
      <c r="U8" s="453"/>
      <c r="V8" s="455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47"/>
      <c r="D9" s="377"/>
      <c r="E9" s="381"/>
      <c r="F9" s="213" t="s">
        <v>8</v>
      </c>
      <c r="G9" s="438"/>
      <c r="H9" s="218"/>
      <c r="I9" s="438"/>
      <c r="J9" s="218"/>
      <c r="K9" s="396"/>
      <c r="L9" s="396"/>
      <c r="M9" s="403"/>
      <c r="N9" s="457" t="str">
        <f>Z22</f>
        <v>Gales</v>
      </c>
      <c r="O9" s="453">
        <f t="shared" ref="O9:U9" si="1">AA22</f>
        <v>0</v>
      </c>
      <c r="P9" s="453">
        <f t="shared" si="1"/>
        <v>0</v>
      </c>
      <c r="Q9" s="453">
        <f t="shared" si="1"/>
        <v>0</v>
      </c>
      <c r="R9" s="453">
        <f t="shared" si="1"/>
        <v>0</v>
      </c>
      <c r="S9" s="453">
        <f t="shared" si="1"/>
        <v>0</v>
      </c>
      <c r="T9" s="453">
        <f t="shared" si="1"/>
        <v>0</v>
      </c>
      <c r="U9" s="453">
        <f t="shared" si="1"/>
        <v>0</v>
      </c>
      <c r="V9" s="455">
        <f>AH22</f>
        <v>0</v>
      </c>
      <c r="Z9" s="386" t="str">
        <f>Z17</f>
        <v>Gales</v>
      </c>
      <c r="AA9" s="389">
        <f>SUM(IF(AND($H$9&lt;&gt;"",$J$9&lt;&gt;"",$J$9&gt;$H$9),1,0)+IF(AND($H$11&lt;&gt;"",$J$11&lt;&gt;"",$H$11&gt;$J$11),1,0)+IF(AND($H$17&lt;&gt;"",$J$17&lt;&gt;"",$J$17&gt;$H$17),1,0))</f>
        <v>0</v>
      </c>
      <c r="AB9" s="389">
        <f>SUM(IF(AND($H$9&lt;&gt;"",$J$9&lt;&gt;"",$H$9=$J$9),1,0)+IF(AND($H$11&lt;&gt;"",$J$11&lt;&gt;"",$J$11=$H$11),1,0)+IF(AND($H$17&lt;&gt;"",$J$17&lt;&gt;"",$J$17=$H$17),1,0))</f>
        <v>0</v>
      </c>
      <c r="AC9" s="389">
        <f>SUM(IF(AND($H$9&lt;&gt;"",$J$9&lt;&gt;"",$J$9&lt;$H$9),1,0)+IF(AND($H$11&lt;&gt;"",$J$11&lt;&gt;"",$H$11&lt;$J$11),1,0)+IF(AND($H$17&lt;&gt;"",$J$17&lt;&gt;"",$J$17&lt;H$15),1,0))</f>
        <v>0</v>
      </c>
      <c r="AD9" s="389">
        <f>SUM($J$9,$H$11,$H$17)</f>
        <v>0</v>
      </c>
      <c r="AE9" s="391">
        <f>SUM($H$9,$J$11,$J$17)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.75" customHeight="1" x14ac:dyDescent="0.25">
      <c r="B10" s="38" t="str">
        <f>CONCATENATE(MID($C$2,7,1),3)</f>
        <v>B3</v>
      </c>
      <c r="C10" s="447">
        <v>44890</v>
      </c>
      <c r="D10" s="460">
        <v>0.20833333333333334</v>
      </c>
      <c r="E10" s="381" t="s">
        <v>195</v>
      </c>
      <c r="F10" s="169" t="s">
        <v>7</v>
      </c>
      <c r="G10" s="438" t="str">
        <f>Z17</f>
        <v>Gales</v>
      </c>
      <c r="H10" s="709">
        <f>VLOOKUP(B10,DB_PARTIDOS!$A$1:$I$65,5)</f>
        <v>1</v>
      </c>
      <c r="I10" s="438" t="str">
        <f>Z19</f>
        <v>Irán</v>
      </c>
      <c r="J10" s="709">
        <f>VLOOKUP($B$10,DB_PARTIDOS!$A$1:$I$65,7)</f>
        <v>0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457"/>
      <c r="O10" s="453"/>
      <c r="P10" s="453"/>
      <c r="Q10" s="453"/>
      <c r="R10" s="453"/>
      <c r="S10" s="453"/>
      <c r="T10" s="453"/>
      <c r="U10" s="453"/>
      <c r="V10" s="455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47"/>
      <c r="D11" s="460"/>
      <c r="E11" s="381"/>
      <c r="F11" s="213" t="s">
        <v>8</v>
      </c>
      <c r="G11" s="438"/>
      <c r="H11" s="218"/>
      <c r="I11" s="438"/>
      <c r="J11" s="218"/>
      <c r="K11" s="396"/>
      <c r="L11" s="396"/>
      <c r="M11" s="403"/>
      <c r="N11" s="457" t="str">
        <f>Z23</f>
        <v>USA</v>
      </c>
      <c r="O11" s="453">
        <f t="shared" ref="O11:V11" si="2">AA23</f>
        <v>0</v>
      </c>
      <c r="P11" s="453">
        <f t="shared" si="2"/>
        <v>0</v>
      </c>
      <c r="Q11" s="453">
        <f t="shared" si="2"/>
        <v>0</v>
      </c>
      <c r="R11" s="453">
        <f t="shared" si="2"/>
        <v>0</v>
      </c>
      <c r="S11" s="453">
        <f t="shared" si="2"/>
        <v>0</v>
      </c>
      <c r="T11" s="453">
        <f t="shared" si="2"/>
        <v>0</v>
      </c>
      <c r="U11" s="453">
        <f t="shared" si="2"/>
        <v>0</v>
      </c>
      <c r="V11" s="455">
        <f t="shared" si="2"/>
        <v>0</v>
      </c>
      <c r="Z11" s="386" t="str">
        <f>Z18</f>
        <v>USA</v>
      </c>
      <c r="AA11" s="389">
        <f>SUM(IF(AND($H$9&lt;&gt;"",$J$9&lt;&gt;"",$J$9&lt;$H$9),1,0)+IF(AND($H$13&lt;&gt;"",$J$13&lt;&gt;"",$H$13&lt;$J$13),1,0)+IF(AND($H$15&lt;&gt;"",$J$15&lt;&gt;"",$H$15&lt;$J$15),1,0))</f>
        <v>0</v>
      </c>
      <c r="AB11" s="389">
        <f>SUM(IF(AND($H$9&lt;&gt;"",$J$9&lt;&gt;"",$J$9=$H$9),1,0)+IF(AND($H$13&lt;&gt;"",$J$13&lt;&gt;"",$H$13=$J$13),1,0)+IF(AND($H$15&lt;&gt;"",$J$15&lt;&gt;"",$H$15=$J$15),1,0))</f>
        <v>0</v>
      </c>
      <c r="AC11" s="389">
        <f>SUM(IF(AND($H$9&lt;&gt;"",$J$9&lt;&gt;"",$J$9&gt;$H$9),1,0)+IF(AND($H$13&lt;&gt;"",$J$13&lt;&gt;"",$H$13&gt;$J$13),1,0)+IF(AND($H$15&lt;&gt;"",$J$15&lt;&gt;"",$H$15&gt;$J$15),1,0))</f>
        <v>0</v>
      </c>
      <c r="AD11" s="389">
        <f>SUM($H$9,$J$13,$J$15)</f>
        <v>0</v>
      </c>
      <c r="AE11" s="391">
        <f>SUM($J$9,$H$13,$H$15)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x14ac:dyDescent="0.25">
      <c r="B12" s="38" t="str">
        <f>CONCATENATE(MID($C$2,7,1),4)</f>
        <v>B4</v>
      </c>
      <c r="C12" s="447">
        <v>44890</v>
      </c>
      <c r="D12" s="377">
        <v>0.58333333333333337</v>
      </c>
      <c r="E12" s="450" t="s">
        <v>192</v>
      </c>
      <c r="F12" s="169" t="s">
        <v>7</v>
      </c>
      <c r="G12" s="438" t="str">
        <f>Z16</f>
        <v>Inglaterra</v>
      </c>
      <c r="H12" s="709">
        <f>VLOOKUP(B12,DB_PARTIDOS!$A$1:$I$65,5)</f>
        <v>2</v>
      </c>
      <c r="I12" s="438" t="str">
        <f>Z18</f>
        <v>USA</v>
      </c>
      <c r="J12" s="709">
        <f>VLOOKUP($B$12,DB_PARTIDOS!$A$1:$I$65,7)</f>
        <v>1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457"/>
      <c r="O12" s="453"/>
      <c r="P12" s="453"/>
      <c r="Q12" s="453"/>
      <c r="R12" s="453"/>
      <c r="S12" s="453"/>
      <c r="T12" s="453"/>
      <c r="U12" s="453"/>
      <c r="V12" s="455"/>
      <c r="Z12" s="386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47"/>
      <c r="D13" s="377"/>
      <c r="E13" s="450"/>
      <c r="F13" s="213" t="s">
        <v>8</v>
      </c>
      <c r="G13" s="438"/>
      <c r="H13" s="218"/>
      <c r="I13" s="438"/>
      <c r="J13" s="218"/>
      <c r="K13" s="396"/>
      <c r="L13" s="396"/>
      <c r="M13" s="403"/>
      <c r="N13" s="457" t="str">
        <f>Z24</f>
        <v>Irán</v>
      </c>
      <c r="O13" s="453">
        <f t="shared" ref="O13:V13" si="3">AA24</f>
        <v>0</v>
      </c>
      <c r="P13" s="453">
        <f t="shared" si="3"/>
        <v>0</v>
      </c>
      <c r="Q13" s="453">
        <f t="shared" si="3"/>
        <v>0</v>
      </c>
      <c r="R13" s="453">
        <f t="shared" si="3"/>
        <v>0</v>
      </c>
      <c r="S13" s="453">
        <f t="shared" si="3"/>
        <v>0</v>
      </c>
      <c r="T13" s="453">
        <f t="shared" si="3"/>
        <v>0</v>
      </c>
      <c r="U13" s="453">
        <f t="shared" si="3"/>
        <v>0</v>
      </c>
      <c r="V13" s="455">
        <f t="shared" si="3"/>
        <v>0</v>
      </c>
      <c r="Z13" s="386" t="str">
        <f>Z19</f>
        <v>Irán</v>
      </c>
      <c r="AA13" s="389">
        <f>SUM(IF(AND($H$7&lt;&gt;"",$J$7&lt;&gt;"",$J$7&gt;$H$7),1,0)+IF(AND($H$11&lt;&gt;"",$J$11&lt;&gt;"",$J$11&gt;$H$11),1,0)+IF(AND($H$15&lt;&gt;"",$J$15&lt;&gt;"",$H$15&gt;$J$15),1,0))</f>
        <v>0</v>
      </c>
      <c r="AB13" s="389">
        <f>SUM(IF(AND($H$7&lt;&gt;"",$J$7&lt;&gt;"",$J$7=$H$7),1,0)+IF(AND($H$11&lt;&gt;"",$J$11&lt;&gt;"",$J$11=$H$11),1,0)+IF(AND($H$15&lt;&gt;"",$J$15&lt;&gt;"",$H$15=$J$15),1,0))</f>
        <v>0</v>
      </c>
      <c r="AC13" s="389">
        <f>SUM(IF(AND($H$7&lt;&gt;"",$J$7&lt;&gt;"",$J$7&lt;$H$7),1,0)+IF(AND($H$11&lt;&gt;"",$J$11&lt;&gt;"",$J$11&lt;$H$11),1,0)+IF(AND($H$15&lt;&gt;"",$J$15&lt;&gt;"",$H$15&lt;$J$15),1,0))</f>
        <v>0</v>
      </c>
      <c r="AD13" s="389">
        <f>SUM($J$7,$J$11,$H$15)</f>
        <v>0</v>
      </c>
      <c r="AE13" s="391">
        <f>SUM($H$7,$H$11,$J$15)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B5</v>
      </c>
      <c r="C14" s="447">
        <v>44894</v>
      </c>
      <c r="D14" s="377">
        <v>0.58333333333333337</v>
      </c>
      <c r="E14" s="450" t="s">
        <v>193</v>
      </c>
      <c r="F14" s="169" t="s">
        <v>7</v>
      </c>
      <c r="G14" s="438" t="str">
        <f>Z19</f>
        <v>Irán</v>
      </c>
      <c r="H14" s="709">
        <f>VLOOKUP(B14,DB_PARTIDOS!$A$1:$I$65,5)</f>
        <v>1</v>
      </c>
      <c r="I14" s="438" t="str">
        <f>Z18</f>
        <v>USA</v>
      </c>
      <c r="J14" s="709">
        <f>VLOOKUP($B$14,DB_PARTIDOS!$A$1:$I$65,7)</f>
        <v>2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458"/>
      <c r="O14" s="454"/>
      <c r="P14" s="454"/>
      <c r="Q14" s="454"/>
      <c r="R14" s="454"/>
      <c r="S14" s="454"/>
      <c r="T14" s="454"/>
      <c r="U14" s="454"/>
      <c r="V14" s="456"/>
      <c r="Z14" s="387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47"/>
      <c r="D15" s="377"/>
      <c r="E15" s="450"/>
      <c r="F15" s="213" t="s">
        <v>8</v>
      </c>
      <c r="G15" s="438"/>
      <c r="H15" s="218"/>
      <c r="I15" s="438"/>
      <c r="J15" s="218"/>
      <c r="K15" s="396"/>
      <c r="L15" s="396"/>
      <c r="M15" s="403"/>
      <c r="N15" s="209" t="s">
        <v>26</v>
      </c>
      <c r="O15" s="451" t="s">
        <v>22</v>
      </c>
      <c r="P15" s="451"/>
      <c r="Q15" s="451"/>
      <c r="R15" s="451"/>
      <c r="S15" s="451" t="s">
        <v>23</v>
      </c>
      <c r="T15" s="451"/>
      <c r="U15" s="451"/>
      <c r="V15" s="136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ht="15" customHeight="1" x14ac:dyDescent="0.25">
      <c r="B16" s="38" t="str">
        <f>CONCATENATE(MID($C$2,7,1),6)</f>
        <v>B6</v>
      </c>
      <c r="C16" s="447">
        <v>44894</v>
      </c>
      <c r="D16" s="377">
        <v>0.58333333333333337</v>
      </c>
      <c r="E16" s="381" t="s">
        <v>195</v>
      </c>
      <c r="F16" s="169" t="s">
        <v>7</v>
      </c>
      <c r="G16" s="438" t="str">
        <f>Z17</f>
        <v>Gales</v>
      </c>
      <c r="H16" s="709">
        <f>VLOOKUP(B16,DB_PARTIDOS!$A$1:$I$65,5)</f>
        <v>1</v>
      </c>
      <c r="I16" s="438" t="str">
        <f>Z16</f>
        <v>Inglaterra</v>
      </c>
      <c r="J16" s="709">
        <f>VLOOKUP($B$16,DB_PARTIDOS!$A$1:$I$65,7)</f>
        <v>2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Inglaterra</v>
      </c>
      <c r="P16" s="711"/>
      <c r="Q16" s="711"/>
      <c r="R16" s="711"/>
      <c r="S16" s="712" t="str">
        <f>N7</f>
        <v>Inglaterra</v>
      </c>
      <c r="T16" s="712"/>
      <c r="U16" s="712"/>
      <c r="V16" s="306">
        <f>IF(OR(O16=S16,O16=S17),AC28,0)+IF(O16=S16,2,0)</f>
        <v>4</v>
      </c>
      <c r="X16" s="38" t="str">
        <f>CONCATENATE(MID($C$2,7,1),N16)</f>
        <v>B1</v>
      </c>
      <c r="Z16" s="61" t="s">
        <v>106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378"/>
      <c r="E17" s="449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Gales</v>
      </c>
      <c r="P17" s="714"/>
      <c r="Q17" s="714"/>
      <c r="R17" s="714"/>
      <c r="S17" s="402" t="str">
        <f>N9</f>
        <v>Gales</v>
      </c>
      <c r="T17" s="402"/>
      <c r="U17" s="402"/>
      <c r="V17" s="307">
        <f>IF(OR(O17=S17,O17=S16),AC28,0)+IF(O17=S17,2,0)</f>
        <v>4</v>
      </c>
      <c r="X17" s="38" t="str">
        <f>CONCATENATE(MID($C$2,7,1),N17)</f>
        <v>B2</v>
      </c>
      <c r="Z17" s="68" t="s">
        <v>187</v>
      </c>
      <c r="AA17" s="69">
        <f t="shared" ref="AA17:AH17" si="5">AA9</f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11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186</v>
      </c>
      <c r="AA18" s="69">
        <f t="shared" ref="AA18:AH18" si="6">AA11</f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11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148</v>
      </c>
      <c r="AA19" s="75">
        <f t="shared" ref="AA19:AH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11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110"/>
      <c r="F21" s="28"/>
      <c r="G21" s="28"/>
      <c r="H21" s="28"/>
      <c r="I21" s="28"/>
      <c r="J21" s="441" t="s">
        <v>91</v>
      </c>
      <c r="K21" s="442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Inglaterra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2" t="s">
        <v>57</v>
      </c>
      <c r="D22" s="167" t="s">
        <v>26</v>
      </c>
      <c r="E22" s="110"/>
      <c r="F22" s="28"/>
      <c r="G22" s="28"/>
      <c r="H22" s="28"/>
      <c r="I22" s="28"/>
      <c r="J22" s="443"/>
      <c r="K22" s="444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Gales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Inglaterra</v>
      </c>
      <c r="D23" s="109">
        <v>1</v>
      </c>
      <c r="E23" s="110"/>
      <c r="F23" s="28"/>
      <c r="G23" s="28"/>
      <c r="H23" s="28"/>
      <c r="I23" s="28"/>
      <c r="J23" s="445"/>
      <c r="K23" s="446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USA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Gales</v>
      </c>
      <c r="D24" s="84">
        <v>2</v>
      </c>
      <c r="E24" s="11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Irán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USA</v>
      </c>
      <c r="D25" s="84">
        <v>3</v>
      </c>
      <c r="E25" s="1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Irán</v>
      </c>
      <c r="D26" s="87">
        <v>4</v>
      </c>
      <c r="E26" s="11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11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C28" s="28"/>
      <c r="D28" s="28"/>
      <c r="E28" s="11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AA28" s="69">
        <v>2</v>
      </c>
      <c r="AB28" s="69">
        <v>2</v>
      </c>
      <c r="AC28" s="69">
        <v>2</v>
      </c>
    </row>
  </sheetData>
  <sheetProtection algorithmName="SHA-512" hashValue="w/sBng7WsvvcWBnN8phdaFoVJY7tX2Hq/wABoUqjAu+dAQlkrkkwdPkiOTOBikj2vIXkqdVweant8UfNtvESpg==" saltValue="d+XxezJ52NW441k/MmkCWA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H9" sqref="H9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96" t="s">
        <v>81</v>
      </c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8"/>
    </row>
    <row r="3" spans="2:46" ht="15.75" customHeight="1" thickBot="1" x14ac:dyDescent="0.3">
      <c r="C3" s="499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1"/>
    </row>
    <row r="4" spans="2:46" x14ac:dyDescent="0.25">
      <c r="C4" s="502" t="s">
        <v>28</v>
      </c>
      <c r="D4" s="503"/>
      <c r="E4" s="503"/>
      <c r="F4" s="503"/>
      <c r="G4" s="503"/>
      <c r="H4" s="503"/>
      <c r="I4" s="503"/>
      <c r="J4" s="504"/>
      <c r="K4" s="505" t="s">
        <v>24</v>
      </c>
      <c r="L4" s="506"/>
      <c r="M4" s="507"/>
      <c r="N4" s="508" t="s">
        <v>21</v>
      </c>
      <c r="O4" s="506"/>
      <c r="P4" s="506"/>
      <c r="Q4" s="506"/>
      <c r="R4" s="506"/>
      <c r="S4" s="506"/>
      <c r="T4" s="506"/>
      <c r="U4" s="506"/>
      <c r="V4" s="509"/>
    </row>
    <row r="5" spans="2:46" ht="15.75" thickBot="1" x14ac:dyDescent="0.3">
      <c r="C5" s="176" t="s">
        <v>0</v>
      </c>
      <c r="D5" s="300" t="s">
        <v>1</v>
      </c>
      <c r="E5" s="300" t="s">
        <v>196</v>
      </c>
      <c r="F5" s="300" t="s">
        <v>2</v>
      </c>
      <c r="G5" s="513" t="s">
        <v>3</v>
      </c>
      <c r="H5" s="513"/>
      <c r="I5" s="513"/>
      <c r="J5" s="514"/>
      <c r="K5" s="314" t="s">
        <v>9</v>
      </c>
      <c r="L5" s="190" t="s">
        <v>10</v>
      </c>
      <c r="M5" s="191" t="s">
        <v>11</v>
      </c>
      <c r="N5" s="510"/>
      <c r="O5" s="511"/>
      <c r="P5" s="511"/>
      <c r="Q5" s="511"/>
      <c r="R5" s="511"/>
      <c r="S5" s="511"/>
      <c r="T5" s="511"/>
      <c r="U5" s="511"/>
      <c r="V5" s="512"/>
    </row>
    <row r="6" spans="2:46" ht="15.75" customHeight="1" thickBot="1" x14ac:dyDescent="0.3">
      <c r="B6" s="38" t="str">
        <f>CONCATENATE(MID($C$2,7,1),1)</f>
        <v>C1</v>
      </c>
      <c r="C6" s="515">
        <v>44887</v>
      </c>
      <c r="D6" s="516">
        <v>0.20833333333333334</v>
      </c>
      <c r="E6" s="483" t="s">
        <v>198</v>
      </c>
      <c r="F6" s="168" t="s">
        <v>7</v>
      </c>
      <c r="G6" s="440" t="str">
        <f>Z16</f>
        <v>Argentina</v>
      </c>
      <c r="H6" s="708">
        <f>VLOOKUP($B$6,DB_PARTIDOS!$A$1:$I$65,5)</f>
        <v>4</v>
      </c>
      <c r="I6" s="440" t="str">
        <f>Z19</f>
        <v>Arabia Saudita</v>
      </c>
      <c r="J6" s="708">
        <f>VLOOKUP($B$6,DB_PARTIDOS!$A$1:$I$65,7)</f>
        <v>0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206" t="s">
        <v>12</v>
      </c>
      <c r="O6" s="125" t="s">
        <v>13</v>
      </c>
      <c r="P6" s="125" t="s">
        <v>14</v>
      </c>
      <c r="Q6" s="125" t="s">
        <v>15</v>
      </c>
      <c r="R6" s="125" t="s">
        <v>16</v>
      </c>
      <c r="S6" s="125" t="s">
        <v>17</v>
      </c>
      <c r="T6" s="125" t="s">
        <v>18</v>
      </c>
      <c r="U6" s="125" t="s">
        <v>19</v>
      </c>
      <c r="V6" s="12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90"/>
      <c r="D7" s="492"/>
      <c r="E7" s="450"/>
      <c r="F7" s="213" t="s">
        <v>8</v>
      </c>
      <c r="G7" s="438"/>
      <c r="H7" s="218"/>
      <c r="I7" s="438"/>
      <c r="J7" s="218"/>
      <c r="K7" s="396"/>
      <c r="L7" s="396"/>
      <c r="M7" s="403"/>
      <c r="N7" s="398" t="str">
        <f>Z21</f>
        <v>Argentina</v>
      </c>
      <c r="O7" s="379">
        <f t="shared" ref="O7:U7" si="0">AA21</f>
        <v>0</v>
      </c>
      <c r="P7" s="379">
        <f t="shared" si="0"/>
        <v>0</v>
      </c>
      <c r="Q7" s="379">
        <f t="shared" si="0"/>
        <v>0</v>
      </c>
      <c r="R7" s="379">
        <f t="shared" si="0"/>
        <v>0</v>
      </c>
      <c r="S7" s="379">
        <f t="shared" si="0"/>
        <v>0</v>
      </c>
      <c r="T7" s="379">
        <f t="shared" si="0"/>
        <v>0</v>
      </c>
      <c r="U7" s="379">
        <f t="shared" si="0"/>
        <v>0</v>
      </c>
      <c r="V7" s="397">
        <f>AH21</f>
        <v>0</v>
      </c>
      <c r="Z7" s="385" t="str">
        <f>Z16</f>
        <v>Argentina</v>
      </c>
      <c r="AA7" s="393">
        <f>SUM(IF(AND($H$7&lt;&gt;"",$J$7&lt;&gt;"",$H$7&gt;$J$7),1,0)+IF(AND($H$11&lt;&gt;"",$J$11&lt;&gt;"",$H$11&gt;$J$11),1,0)+IF(AND($H$17&lt;&gt;"",$J$17&lt;&gt;"",$J$17&gt;$H$17),1,0))</f>
        <v>0</v>
      </c>
      <c r="AB7" s="393">
        <f>SUM(IF(AND($H$7&lt;&gt;"",$J$7&lt;&gt;"",$H$7=$J$7),1,0)+IF(AND($H$11&lt;&gt;"",$J$11&lt;&gt;"",$H$11=$J$11),1,0)+IF(AND($H$17&lt;&gt;"",$J$17&lt;&gt;"",$J$17=$H$17),1,0))</f>
        <v>0</v>
      </c>
      <c r="AC7" s="393">
        <f>SUM(IF(AND($H$7&lt;&gt;"",$J$7&lt;&gt;"",$H$7&lt;$J$7),1,0)+IF(AND($H$11&lt;&gt;"",$J$11&lt;&gt;"",$H$11&lt;$J$11),1,0)+IF(AND($H$17&lt;&gt;"",$J$17&lt;&gt;"",$J$17&lt;$H$17),1,0))</f>
        <v>0</v>
      </c>
      <c r="AD7" s="393">
        <f>SUM($H$7,$H$11,$J$17)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C2</v>
      </c>
      <c r="C8" s="490">
        <v>44887</v>
      </c>
      <c r="D8" s="492">
        <v>0.45833333333333331</v>
      </c>
      <c r="E8" s="450">
        <v>974</v>
      </c>
      <c r="F8" s="169" t="s">
        <v>7</v>
      </c>
      <c r="G8" s="438" t="str">
        <f>Z17</f>
        <v>México</v>
      </c>
      <c r="H8" s="709">
        <f>VLOOKUP(B8,DB_PARTIDOS!$A$1:$I$65,5)</f>
        <v>1</v>
      </c>
      <c r="I8" s="438" t="str">
        <f>Z18</f>
        <v>Polonia</v>
      </c>
      <c r="J8" s="709">
        <f>VLOOKUP($B$8,DB_PARTIDOS!$A$1:$I$65,7)</f>
        <v>2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398"/>
      <c r="O8" s="379"/>
      <c r="P8" s="379"/>
      <c r="Q8" s="379"/>
      <c r="R8" s="379"/>
      <c r="S8" s="379"/>
      <c r="T8" s="379"/>
      <c r="U8" s="379"/>
      <c r="V8" s="397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90"/>
      <c r="D9" s="492"/>
      <c r="E9" s="450"/>
      <c r="F9" s="213" t="s">
        <v>8</v>
      </c>
      <c r="G9" s="438"/>
      <c r="H9" s="218"/>
      <c r="I9" s="438"/>
      <c r="J9" s="218"/>
      <c r="K9" s="396"/>
      <c r="L9" s="396"/>
      <c r="M9" s="403"/>
      <c r="N9" s="398" t="str">
        <f>Z22</f>
        <v>México</v>
      </c>
      <c r="O9" s="379">
        <f t="shared" ref="O9:V9" si="1">AA22</f>
        <v>0</v>
      </c>
      <c r="P9" s="379">
        <f t="shared" si="1"/>
        <v>0</v>
      </c>
      <c r="Q9" s="379">
        <f t="shared" si="1"/>
        <v>0</v>
      </c>
      <c r="R9" s="379">
        <f t="shared" si="1"/>
        <v>0</v>
      </c>
      <c r="S9" s="379">
        <f t="shared" si="1"/>
        <v>0</v>
      </c>
      <c r="T9" s="379">
        <f t="shared" si="1"/>
        <v>0</v>
      </c>
      <c r="U9" s="379">
        <f t="shared" si="1"/>
        <v>0</v>
      </c>
      <c r="V9" s="397">
        <f t="shared" si="1"/>
        <v>0</v>
      </c>
      <c r="Z9" s="386" t="str">
        <f>Z17</f>
        <v>México</v>
      </c>
      <c r="AA9" s="389">
        <f>SUM(IF(AND($H$9&lt;&gt;"",$J$9&lt;&gt;"",$H$9&gt;$J$9),1,0)+IF(AND($H$11&lt;&gt;"",$J$11&lt;&gt;"",$J$11&gt;$H$11),1,0)+IF(AND($H$15&lt;&gt;"",$J$15&lt;&gt;"",$J$15&gt;$H$15),1,0))</f>
        <v>0</v>
      </c>
      <c r="AB9" s="389">
        <f>SUM(IF(AND($H$9&lt;&gt;"",$J$9&lt;&gt;"",$H$9=$J$9),1,0)+IF(AND($H$11&lt;&gt;"",$J$11&lt;&gt;"",$J$11=$H$11),1,0)+IF(AND($H$15&lt;&gt;"",$J$15&lt;&gt;"",$J$15=$H$15),1,0))</f>
        <v>0</v>
      </c>
      <c r="AC9" s="389">
        <f>SUM(IF(AND($H$9&lt;&gt;"",$J$9&lt;&gt;"",$H$9&lt;$J$9),1,0)+IF(AND($H$11&lt;&gt;"",$J$11&lt;&gt;"",$J$11&lt;$H$11),1,0)+IF(AND($H$15&lt;&gt;"",$J$15&lt;&gt;"",$J$15&lt;H$15),1,0))</f>
        <v>0</v>
      </c>
      <c r="AD9" s="389">
        <f>SUM($H$9,$J$11,$J$15)</f>
        <v>0</v>
      </c>
      <c r="AE9" s="391">
        <f>SUM($J$9,$H$11,$H$15)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C3</v>
      </c>
      <c r="C10" s="490">
        <v>44891</v>
      </c>
      <c r="D10" s="492">
        <v>0.58333333333333337</v>
      </c>
      <c r="E10" s="450" t="s">
        <v>198</v>
      </c>
      <c r="F10" s="169" t="s">
        <v>7</v>
      </c>
      <c r="G10" s="438" t="str">
        <f>Z16</f>
        <v>Argentina</v>
      </c>
      <c r="H10" s="709">
        <f>VLOOKUP(B10,DB_PARTIDOS!$A$1:$I$65,5)</f>
        <v>2</v>
      </c>
      <c r="I10" s="438" t="str">
        <f>Z17</f>
        <v>México</v>
      </c>
      <c r="J10" s="709">
        <f>VLOOKUP($B$10,DB_PARTIDOS!$A$1:$I$65,7)</f>
        <v>0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398"/>
      <c r="O10" s="379"/>
      <c r="P10" s="379"/>
      <c r="Q10" s="379"/>
      <c r="R10" s="379"/>
      <c r="S10" s="379"/>
      <c r="T10" s="379"/>
      <c r="U10" s="379"/>
      <c r="V10" s="397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90"/>
      <c r="D11" s="492"/>
      <c r="E11" s="450"/>
      <c r="F11" s="213" t="s">
        <v>8</v>
      </c>
      <c r="G11" s="438"/>
      <c r="H11" s="218"/>
      <c r="I11" s="438"/>
      <c r="J11" s="218"/>
      <c r="K11" s="396"/>
      <c r="L11" s="396"/>
      <c r="M11" s="403"/>
      <c r="N11" s="398" t="str">
        <f>Z23</f>
        <v>Polonia</v>
      </c>
      <c r="O11" s="379">
        <f t="shared" ref="O11:V11" si="2">AA23</f>
        <v>0</v>
      </c>
      <c r="P11" s="379">
        <f t="shared" si="2"/>
        <v>0</v>
      </c>
      <c r="Q11" s="379">
        <f t="shared" si="2"/>
        <v>0</v>
      </c>
      <c r="R11" s="379">
        <f t="shared" si="2"/>
        <v>0</v>
      </c>
      <c r="S11" s="379">
        <f t="shared" si="2"/>
        <v>0</v>
      </c>
      <c r="T11" s="379">
        <f t="shared" si="2"/>
        <v>0</v>
      </c>
      <c r="U11" s="379">
        <f t="shared" si="2"/>
        <v>0</v>
      </c>
      <c r="V11" s="397">
        <f t="shared" si="2"/>
        <v>0</v>
      </c>
      <c r="Z11" s="386" t="str">
        <f>Z18</f>
        <v>Polonia</v>
      </c>
      <c r="AA11" s="389">
        <f>SUM(IF(AND($H$9&lt;&gt;"",$J$9&lt;&gt;"",$J$9&gt;$H$9),1,0)+IF(AND($H$13&lt;&gt;"",$J$13&lt;&gt;"",$H$13&gt;$J$13),1,0)+IF(AND($H$17&lt;&gt;"",$J$17&lt;&gt;"",$H$17&gt;$J$17),1,0))</f>
        <v>0</v>
      </c>
      <c r="AB11" s="389">
        <f>SUM(IF(AND($H$9&lt;&gt;"",$J$9&lt;&gt;"",$J$9=$H$9),1,0)+IF(AND($H$13&lt;&gt;"",$J$13&lt;&gt;"",$H$13=$J$13),1,0)+IF(AND($H$17&lt;&gt;"",$J$17&lt;&gt;"",$H$17=$J$17),1,0))</f>
        <v>0</v>
      </c>
      <c r="AC11" s="389">
        <f>SUM(IF(AND($H$9&lt;&gt;"",$J$9&lt;&gt;"",$J$9&lt;$H$9),1,0)+IF(AND($H$13&lt;&gt;"",$J$13&lt;&gt;"",$H$13&lt;$J$13),1,0)+IF(AND($H$17&lt;&gt;"",$J$17&lt;&gt;"",$H$17&lt;$J$17),1,0))</f>
        <v>0</v>
      </c>
      <c r="AD11" s="389">
        <f>SUM($J$9,$H$13,$H$17)</f>
        <v>0</v>
      </c>
      <c r="AE11" s="391">
        <f>SUM($H$9,$J$13,$J$17)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ht="15" customHeight="1" x14ac:dyDescent="0.25">
      <c r="B12" s="38" t="str">
        <f>CONCATENATE(MID($C$2,7,1),4)</f>
        <v>C4</v>
      </c>
      <c r="C12" s="490">
        <v>44891</v>
      </c>
      <c r="D12" s="492">
        <v>0.33333333333333331</v>
      </c>
      <c r="E12" s="450" t="s">
        <v>197</v>
      </c>
      <c r="F12" s="169" t="s">
        <v>7</v>
      </c>
      <c r="G12" s="438" t="str">
        <f>Z18</f>
        <v>Polonia</v>
      </c>
      <c r="H12" s="709">
        <f>VLOOKUP(B12,DB_PARTIDOS!$A$1:$I$65,5)</f>
        <v>2</v>
      </c>
      <c r="I12" s="438" t="str">
        <f>Z19</f>
        <v>Arabia Saudita</v>
      </c>
      <c r="J12" s="709">
        <f>VLOOKUP($B$12,DB_PARTIDOS!$A$1:$I$65,7)</f>
        <v>1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398"/>
      <c r="O12" s="379"/>
      <c r="P12" s="379"/>
      <c r="Q12" s="379"/>
      <c r="R12" s="379"/>
      <c r="S12" s="379"/>
      <c r="T12" s="379"/>
      <c r="U12" s="379"/>
      <c r="V12" s="397"/>
      <c r="Z12" s="386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90"/>
      <c r="D13" s="492"/>
      <c r="E13" s="450"/>
      <c r="F13" s="213" t="s">
        <v>8</v>
      </c>
      <c r="G13" s="438"/>
      <c r="H13" s="218"/>
      <c r="I13" s="438"/>
      <c r="J13" s="218"/>
      <c r="K13" s="396"/>
      <c r="L13" s="396"/>
      <c r="M13" s="403"/>
      <c r="N13" s="398" t="str">
        <f>Z24</f>
        <v>Arabia Saudita</v>
      </c>
      <c r="O13" s="379">
        <f t="shared" ref="O13:V13" si="3">AA24</f>
        <v>0</v>
      </c>
      <c r="P13" s="379">
        <f t="shared" si="3"/>
        <v>0</v>
      </c>
      <c r="Q13" s="379">
        <f t="shared" si="3"/>
        <v>0</v>
      </c>
      <c r="R13" s="379">
        <f t="shared" si="3"/>
        <v>0</v>
      </c>
      <c r="S13" s="379">
        <f t="shared" si="3"/>
        <v>0</v>
      </c>
      <c r="T13" s="379">
        <f t="shared" si="3"/>
        <v>0</v>
      </c>
      <c r="U13" s="379">
        <f t="shared" si="3"/>
        <v>0</v>
      </c>
      <c r="V13" s="397">
        <f t="shared" si="3"/>
        <v>0</v>
      </c>
      <c r="Z13" s="386" t="str">
        <f>Z19</f>
        <v>Arabia Saudita</v>
      </c>
      <c r="AA13" s="389">
        <f>SUM(IF(AND($H$7&lt;&gt;"",$J$7&lt;&gt;"",$J$7&gt;$H$7),1,0)+IF(AND($H$13&lt;&gt;"",$J$13&lt;&gt;"",$J$13&gt;$H$13),1,0)+IF(AND($H$15&lt;&gt;"",$J$15&lt;&gt;"",$H$15&gt;$J$15),1,0))</f>
        <v>0</v>
      </c>
      <c r="AB13" s="389">
        <f>SUM(IF(AND($H$7&lt;&gt;"",$J$7&lt;&gt;"",$J$7=$H$7),1,0)+IF(AND($H$13&lt;&gt;"",$J$13&lt;&gt;"",$J$13=$H$13),1,0)+IF(AND($H$15&lt;&gt;"",$J$15&lt;&gt;"",$H$15=$J$15),1,0))</f>
        <v>0</v>
      </c>
      <c r="AC13" s="389">
        <f>SUM(IF(AND($H$7&lt;&gt;"",$J$7&lt;&gt;"",$J$7&lt;$H$7),1,0)+IF(AND($H$13&lt;&gt;"",$J$13&lt;&gt;"",$J$13&lt;$H$13),1,0)+IF(AND($H$15&lt;&gt;"",$J$15&lt;&gt;"",$H$15&lt;$J$15),1,0))</f>
        <v>0</v>
      </c>
      <c r="AD13" s="389">
        <f>SUM($J$7,$J$13,$H$15)</f>
        <v>0</v>
      </c>
      <c r="AE13" s="391">
        <f>SUM($H$7,$H$13,$J$15)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C5</v>
      </c>
      <c r="C14" s="490">
        <v>44895</v>
      </c>
      <c r="D14" s="492">
        <v>0.58333333333333337</v>
      </c>
      <c r="E14" s="450" t="s">
        <v>198</v>
      </c>
      <c r="F14" s="169" t="s">
        <v>7</v>
      </c>
      <c r="G14" s="438" t="str">
        <f>Z19</f>
        <v>Arabia Saudita</v>
      </c>
      <c r="H14" s="709">
        <f>VLOOKUP(B14,DB_PARTIDOS!$A$1:$I$65,5)</f>
        <v>1</v>
      </c>
      <c r="I14" s="438" t="str">
        <f>Z17</f>
        <v>México</v>
      </c>
      <c r="J14" s="709">
        <f>VLOOKUP($B$14,DB_PARTIDOS!$A$1:$I$65,7)</f>
        <v>2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399"/>
      <c r="O14" s="400"/>
      <c r="P14" s="400"/>
      <c r="Q14" s="400"/>
      <c r="R14" s="400"/>
      <c r="S14" s="400"/>
      <c r="T14" s="400"/>
      <c r="U14" s="400"/>
      <c r="V14" s="401"/>
      <c r="Z14" s="386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90"/>
      <c r="D15" s="492"/>
      <c r="E15" s="450"/>
      <c r="F15" s="213" t="s">
        <v>8</v>
      </c>
      <c r="G15" s="438"/>
      <c r="H15" s="218"/>
      <c r="I15" s="438"/>
      <c r="J15" s="218"/>
      <c r="K15" s="396"/>
      <c r="L15" s="396"/>
      <c r="M15" s="403"/>
      <c r="N15" s="207" t="s">
        <v>26</v>
      </c>
      <c r="O15" s="495" t="s">
        <v>22</v>
      </c>
      <c r="P15" s="495"/>
      <c r="Q15" s="495"/>
      <c r="R15" s="495"/>
      <c r="S15" s="495" t="s">
        <v>23</v>
      </c>
      <c r="T15" s="495"/>
      <c r="U15" s="495"/>
      <c r="V15" s="135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C6</v>
      </c>
      <c r="C16" s="490">
        <v>44895</v>
      </c>
      <c r="D16" s="492">
        <v>0.58333333333333337</v>
      </c>
      <c r="E16" s="450">
        <v>974</v>
      </c>
      <c r="F16" s="169" t="s">
        <v>7</v>
      </c>
      <c r="G16" s="438" t="str">
        <f>Z18</f>
        <v>Polonia</v>
      </c>
      <c r="H16" s="709">
        <f>VLOOKUP(B16,DB_PARTIDOS!$A$1:$I$65,5)</f>
        <v>1</v>
      </c>
      <c r="I16" s="438" t="str">
        <f>Z16</f>
        <v>Argentina</v>
      </c>
      <c r="J16" s="709">
        <f>VLOOKUP($B$16,DB_PARTIDOS!$A$1:$I$65,7)</f>
        <v>2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Argentina</v>
      </c>
      <c r="P16" s="711"/>
      <c r="Q16" s="711"/>
      <c r="R16" s="711"/>
      <c r="S16" s="712" t="str">
        <f>N7</f>
        <v>Argentina</v>
      </c>
      <c r="T16" s="712"/>
      <c r="U16" s="712"/>
      <c r="V16" s="306">
        <f>IF(OR(O16=S16,O16=S17),AC28,0)+IF(O16=S16,2,0)</f>
        <v>4</v>
      </c>
      <c r="X16" s="38" t="str">
        <f>CONCATENATE(MID($C$2,7,1),N16)</f>
        <v>C1</v>
      </c>
      <c r="Z16" s="61" t="s">
        <v>109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91"/>
      <c r="D17" s="493"/>
      <c r="E17" s="494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Polonia</v>
      </c>
      <c r="P17" s="714"/>
      <c r="Q17" s="714"/>
      <c r="R17" s="714"/>
      <c r="S17" s="402" t="str">
        <f>N9</f>
        <v>México</v>
      </c>
      <c r="T17" s="402"/>
      <c r="U17" s="402"/>
      <c r="V17" s="307">
        <f>IF(OR(O17=S17,O17=S16),AC28,0)+IF(O17=S17,2,0)</f>
        <v>0</v>
      </c>
      <c r="X17" s="38" t="str">
        <f>CONCATENATE(MID($C$2,7,1),N17)</f>
        <v>C2</v>
      </c>
      <c r="Z17" s="68" t="s">
        <v>188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153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146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28"/>
      <c r="F21" s="28"/>
      <c r="G21" s="28"/>
      <c r="H21" s="28"/>
      <c r="I21" s="28"/>
      <c r="J21" s="484" t="s">
        <v>90</v>
      </c>
      <c r="K21" s="485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Argentina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8" t="s">
        <v>57</v>
      </c>
      <c r="D22" s="166" t="s">
        <v>26</v>
      </c>
      <c r="E22" s="28"/>
      <c r="F22" s="28"/>
      <c r="G22" s="28"/>
      <c r="H22" s="28"/>
      <c r="I22" s="28"/>
      <c r="J22" s="486"/>
      <c r="K22" s="487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México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Argentina</v>
      </c>
      <c r="D23" s="109">
        <v>1</v>
      </c>
      <c r="E23" s="28"/>
      <c r="F23" s="28"/>
      <c r="G23" s="28"/>
      <c r="H23" s="28"/>
      <c r="I23" s="28"/>
      <c r="J23" s="488"/>
      <c r="K23" s="489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Polonia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México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Arabia Saudita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Polonia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Arabia Saudita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algorithmName="SHA-512" hashValue="zp1oxNkeXPQURr9EdENRGpsNpEYZ+pDb2U00UeYkUPbKKUwOokLQNMfF62QSzcccEPjR37DmxguzCjeFHa2ePA==" saltValue="xXZs9TNHPMbViz0SI32f7Q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38"/>
  <sheetViews>
    <sheetView showGridLines="0" zoomScale="80" zoomScaleNormal="80" workbookViewId="0">
      <selection activeCell="D23" sqref="D23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8" ht="4.5" customHeight="1" thickBot="1" x14ac:dyDescent="0.3"/>
    <row r="2" spans="2:48" ht="15" customHeight="1" x14ac:dyDescent="0.25">
      <c r="C2" s="527" t="s">
        <v>82</v>
      </c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9"/>
      <c r="W2" s="10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2:48" ht="15.75" customHeight="1" thickBot="1" x14ac:dyDescent="0.3">
      <c r="C3" s="530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2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2:48" x14ac:dyDescent="0.25">
      <c r="C4" s="533" t="s">
        <v>28</v>
      </c>
      <c r="D4" s="534"/>
      <c r="E4" s="534"/>
      <c r="F4" s="534"/>
      <c r="G4" s="534"/>
      <c r="H4" s="534"/>
      <c r="I4" s="534"/>
      <c r="J4" s="535"/>
      <c r="K4" s="536" t="s">
        <v>24</v>
      </c>
      <c r="L4" s="537"/>
      <c r="M4" s="538"/>
      <c r="N4" s="539" t="s">
        <v>21</v>
      </c>
      <c r="O4" s="537"/>
      <c r="P4" s="537"/>
      <c r="Q4" s="537"/>
      <c r="R4" s="537"/>
      <c r="S4" s="537"/>
      <c r="T4" s="537"/>
      <c r="U4" s="537"/>
      <c r="V4" s="540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2:48" ht="15.75" thickBot="1" x14ac:dyDescent="0.3">
      <c r="C5" s="175" t="s">
        <v>0</v>
      </c>
      <c r="D5" s="301" t="s">
        <v>1</v>
      </c>
      <c r="E5" s="301" t="s">
        <v>196</v>
      </c>
      <c r="F5" s="301" t="s">
        <v>2</v>
      </c>
      <c r="G5" s="544" t="s">
        <v>3</v>
      </c>
      <c r="H5" s="544"/>
      <c r="I5" s="544"/>
      <c r="J5" s="545"/>
      <c r="K5" s="313" t="s">
        <v>9</v>
      </c>
      <c r="L5" s="188" t="s">
        <v>10</v>
      </c>
      <c r="M5" s="189" t="s">
        <v>11</v>
      </c>
      <c r="N5" s="541"/>
      <c r="O5" s="542"/>
      <c r="P5" s="542"/>
      <c r="Q5" s="542"/>
      <c r="R5" s="542"/>
      <c r="S5" s="542"/>
      <c r="T5" s="542"/>
      <c r="U5" s="542"/>
      <c r="V5" s="543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2:48" ht="15.75" thickBot="1" x14ac:dyDescent="0.3">
      <c r="B6" s="38" t="str">
        <f>CONCATENATE(MID($C$2,7,1),1)</f>
        <v>D1</v>
      </c>
      <c r="C6" s="481">
        <v>44887</v>
      </c>
      <c r="D6" s="482">
        <v>0.58333333333333337</v>
      </c>
      <c r="E6" s="483" t="s">
        <v>199</v>
      </c>
      <c r="F6" s="168" t="s">
        <v>7</v>
      </c>
      <c r="G6" s="440" t="str">
        <f>Z16</f>
        <v>Francia</v>
      </c>
      <c r="H6" s="708">
        <f>VLOOKUP($B$6,DB_PARTIDOS!$A$1:$I$65,5)</f>
        <v>2</v>
      </c>
      <c r="I6" s="440" t="str">
        <f>Z19</f>
        <v>Australia</v>
      </c>
      <c r="J6" s="708">
        <f>VLOOKUP($B$6,DB_PARTIDOS!$A$1:$I$65,7)</f>
        <v>0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204" t="s">
        <v>12</v>
      </c>
      <c r="O6" s="123" t="s">
        <v>13</v>
      </c>
      <c r="P6" s="123" t="s">
        <v>14</v>
      </c>
      <c r="Q6" s="123" t="s">
        <v>15</v>
      </c>
      <c r="R6" s="123" t="s">
        <v>16</v>
      </c>
      <c r="S6" s="123" t="s">
        <v>17</v>
      </c>
      <c r="T6" s="123" t="s">
        <v>18</v>
      </c>
      <c r="U6" s="123" t="s">
        <v>19</v>
      </c>
      <c r="V6" s="124" t="s">
        <v>20</v>
      </c>
      <c r="W6" s="28"/>
      <c r="X6" s="28"/>
      <c r="Y6" s="28"/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I6" s="28"/>
      <c r="AJ6" s="28"/>
      <c r="AK6" s="28"/>
      <c r="AL6" s="51"/>
      <c r="AM6" s="51"/>
      <c r="AN6" s="51"/>
      <c r="AO6" s="51"/>
      <c r="AP6" s="51"/>
      <c r="AQ6" s="51"/>
      <c r="AR6" s="51"/>
      <c r="AS6" s="51"/>
      <c r="AT6" s="54"/>
      <c r="AU6" s="28"/>
      <c r="AV6" s="28"/>
    </row>
    <row r="7" spans="2:48" x14ac:dyDescent="0.25">
      <c r="C7" s="447"/>
      <c r="D7" s="460"/>
      <c r="E7" s="450"/>
      <c r="F7" s="213" t="s">
        <v>8</v>
      </c>
      <c r="G7" s="438"/>
      <c r="H7" s="218"/>
      <c r="I7" s="438"/>
      <c r="J7" s="218"/>
      <c r="K7" s="396"/>
      <c r="L7" s="396"/>
      <c r="M7" s="403"/>
      <c r="N7" s="398" t="str">
        <f>Z21</f>
        <v>Francia</v>
      </c>
      <c r="O7" s="379">
        <f t="shared" ref="O7:U7" si="0">AA21</f>
        <v>0</v>
      </c>
      <c r="P7" s="379">
        <f t="shared" si="0"/>
        <v>0</v>
      </c>
      <c r="Q7" s="379">
        <f t="shared" si="0"/>
        <v>0</v>
      </c>
      <c r="R7" s="379">
        <f t="shared" si="0"/>
        <v>0</v>
      </c>
      <c r="S7" s="379">
        <f t="shared" si="0"/>
        <v>0</v>
      </c>
      <c r="T7" s="379">
        <f t="shared" si="0"/>
        <v>0</v>
      </c>
      <c r="U7" s="525">
        <f t="shared" si="0"/>
        <v>0</v>
      </c>
      <c r="V7" s="397">
        <f>AH21</f>
        <v>0</v>
      </c>
      <c r="W7" s="28"/>
      <c r="X7" s="28"/>
      <c r="Y7" s="28"/>
      <c r="Z7" s="385" t="str">
        <f>Z16</f>
        <v>Francia</v>
      </c>
      <c r="AA7" s="393">
        <f>SUM(IF(AND($H$7&lt;&gt;"",$J$7&lt;&gt;"",$H$7&gt;$J$7),1,0)+IF(AND($H$13&lt;&gt;"",$J$13&lt;&gt;"",$H$13&gt;$J$13),1,0)+IF(AND($H$17&lt;&gt;"",$J$17&lt;&gt;"",$J$17&gt;$H$17),1,0))</f>
        <v>0</v>
      </c>
      <c r="AB7" s="393">
        <f>SUM(IF(AND($H$7&lt;&gt;"",$J$7&lt;&gt;"",$H$7=$J$7),1,0)+IF(AND($H$13&lt;&gt;"",$J$13&lt;&gt;"",$H$13=$J$13),1,0)+IF(AND($H$17&lt;&gt;"",$J$17&lt;&gt;"",$J$17=$H$17),1,0))</f>
        <v>0</v>
      </c>
      <c r="AC7" s="393">
        <f>SUM(IF(AND($H$7&lt;&gt;"",$J$7&lt;&gt;"",$H$7&lt;$J$7),1,0)+IF(AND($H$13&lt;&gt;"",$J$13&lt;&gt;"",$H$13&lt;$J$13),1,0)+IF(AND($H$17&lt;&gt;"",$J$17&lt;&gt;"",$J$17&lt;$H$17),1,0))</f>
        <v>0</v>
      </c>
      <c r="AD7" s="393">
        <f>SUM($H$7,$H$13,$J$17)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K7" s="28"/>
      <c r="AL7" s="54"/>
      <c r="AM7" s="54"/>
      <c r="AN7" s="54"/>
      <c r="AO7" s="54"/>
      <c r="AP7" s="54"/>
      <c r="AQ7" s="54"/>
      <c r="AR7" s="54"/>
      <c r="AS7" s="54"/>
      <c r="AT7" s="54"/>
      <c r="AU7" s="28"/>
      <c r="AV7" s="28"/>
    </row>
    <row r="8" spans="2:48" x14ac:dyDescent="0.25">
      <c r="B8" s="38" t="str">
        <f>CONCATENATE(MID($C$2,7,1),2)</f>
        <v>D2</v>
      </c>
      <c r="C8" s="447">
        <v>44887</v>
      </c>
      <c r="D8" s="460">
        <v>0.33333333333333331</v>
      </c>
      <c r="E8" s="450" t="s">
        <v>197</v>
      </c>
      <c r="F8" s="169" t="s">
        <v>7</v>
      </c>
      <c r="G8" s="438" t="str">
        <f>Z18</f>
        <v>Dinamarca</v>
      </c>
      <c r="H8" s="709">
        <f>VLOOKUP(B8,DB_PARTIDOS!$A$1:$I$65,5)</f>
        <v>2</v>
      </c>
      <c r="I8" s="438" t="str">
        <f>Z17</f>
        <v>Túnez</v>
      </c>
      <c r="J8" s="709">
        <f>VLOOKUP($B$8,DB_PARTIDOS!$A$1:$I$65,7)</f>
        <v>1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398"/>
      <c r="O8" s="379"/>
      <c r="P8" s="379"/>
      <c r="Q8" s="379"/>
      <c r="R8" s="379"/>
      <c r="S8" s="379"/>
      <c r="T8" s="379"/>
      <c r="U8" s="525"/>
      <c r="V8" s="397"/>
      <c r="W8" s="28"/>
      <c r="X8" s="28"/>
      <c r="Y8" s="28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K8" s="28"/>
      <c r="AL8" s="54"/>
      <c r="AM8" s="54"/>
      <c r="AN8" s="54"/>
      <c r="AO8" s="54"/>
      <c r="AP8" s="54"/>
      <c r="AQ8" s="54"/>
      <c r="AR8" s="54"/>
      <c r="AS8" s="54"/>
      <c r="AT8" s="54"/>
      <c r="AU8" s="28"/>
      <c r="AV8" s="28"/>
    </row>
    <row r="9" spans="2:48" x14ac:dyDescent="0.25">
      <c r="C9" s="447"/>
      <c r="D9" s="460"/>
      <c r="E9" s="450"/>
      <c r="F9" s="213" t="s">
        <v>8</v>
      </c>
      <c r="G9" s="438"/>
      <c r="H9" s="218"/>
      <c r="I9" s="438"/>
      <c r="J9" s="218"/>
      <c r="K9" s="396"/>
      <c r="L9" s="396"/>
      <c r="M9" s="403"/>
      <c r="N9" s="398" t="str">
        <f>Z22</f>
        <v>Túnez</v>
      </c>
      <c r="O9" s="379">
        <f t="shared" ref="O9:V9" si="1">AA22</f>
        <v>0</v>
      </c>
      <c r="P9" s="379">
        <f t="shared" si="1"/>
        <v>0</v>
      </c>
      <c r="Q9" s="379">
        <f t="shared" si="1"/>
        <v>0</v>
      </c>
      <c r="R9" s="379">
        <f t="shared" si="1"/>
        <v>0</v>
      </c>
      <c r="S9" s="379">
        <f t="shared" si="1"/>
        <v>0</v>
      </c>
      <c r="T9" s="379">
        <f t="shared" si="1"/>
        <v>0</v>
      </c>
      <c r="U9" s="525">
        <f t="shared" si="1"/>
        <v>0</v>
      </c>
      <c r="V9" s="397">
        <f t="shared" si="1"/>
        <v>0</v>
      </c>
      <c r="W9" s="28"/>
      <c r="X9" s="28"/>
      <c r="Y9" s="28"/>
      <c r="Z9" s="386" t="str">
        <f>Z17</f>
        <v>Túnez</v>
      </c>
      <c r="AA9" s="389">
        <f>SUM(IF(AND($H$9&lt;&gt;"",$J$9&lt;&gt;"",$H$9&lt;$J$9),1,0)+IF(AND($H$11&lt;&gt;"",$J$11&lt;&gt;"",$J$11&lt;$H$11),1,0)+IF(AND($H$17&lt;&gt;"",$J$17&lt;&gt;"",$J$17&lt;$H$17),1,0))</f>
        <v>0</v>
      </c>
      <c r="AB9" s="389">
        <f>SUM(IF(AND($H$9&lt;&gt;"",$J$9&lt;&gt;"",$H$9=$J$9),1,0)+IF(AND($H$11&lt;&gt;"",$J$11&lt;&gt;"",$J$11=$H$11),1,0)+IF(AND($H$17&lt;&gt;"",$J$17&lt;&gt;"",$J$17=$H$17),1,0))</f>
        <v>0</v>
      </c>
      <c r="AC9" s="389">
        <f>SUM(IF(AND($H$9&lt;&gt;"",$J$9&lt;&gt;"",$H$9&gt;$J$9),1,0)+IF(AND($H$11&lt;&gt;"",$J$11&lt;&gt;"",$J$11&gt;$H$11),1,0)+IF(AND($H$17&lt;&gt;"",$J$17&lt;&gt;"",$J$17&gt;H$17),1,0))</f>
        <v>0</v>
      </c>
      <c r="AD9" s="389">
        <f>SUM($J$9,$H$11,$H$17)</f>
        <v>0</v>
      </c>
      <c r="AE9" s="391">
        <f>SUM($H$9,$J$11,$J$17)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K9" s="28"/>
      <c r="AL9" s="54"/>
      <c r="AM9" s="54"/>
      <c r="AN9" s="54"/>
      <c r="AO9" s="54"/>
      <c r="AP9" s="54"/>
      <c r="AQ9" s="54"/>
      <c r="AR9" s="54"/>
      <c r="AS9" s="54"/>
      <c r="AT9" s="54"/>
      <c r="AU9" s="28"/>
      <c r="AV9" s="28"/>
    </row>
    <row r="10" spans="2:48" x14ac:dyDescent="0.25">
      <c r="B10" s="38" t="str">
        <f>CONCATENATE(MID($C$2,7,1),3)</f>
        <v>D3</v>
      </c>
      <c r="C10" s="447">
        <v>44891</v>
      </c>
      <c r="D10" s="460">
        <v>0.20833333333333334</v>
      </c>
      <c r="E10" s="450" t="s">
        <v>199</v>
      </c>
      <c r="F10" s="169" t="s">
        <v>7</v>
      </c>
      <c r="G10" s="438" t="str">
        <f>Z17</f>
        <v>Túnez</v>
      </c>
      <c r="H10" s="709">
        <f>VLOOKUP(B10,DB_PARTIDOS!$A$1:$I$65,5)</f>
        <v>1</v>
      </c>
      <c r="I10" s="438" t="str">
        <f>Z19</f>
        <v>Australia</v>
      </c>
      <c r="J10" s="709">
        <f>VLOOKUP($B$10,DB_PARTIDOS!$A$1:$I$65,7)</f>
        <v>1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398"/>
      <c r="O10" s="379"/>
      <c r="P10" s="379"/>
      <c r="Q10" s="379"/>
      <c r="R10" s="379"/>
      <c r="S10" s="379"/>
      <c r="T10" s="379"/>
      <c r="U10" s="525"/>
      <c r="V10" s="397"/>
      <c r="W10" s="28"/>
      <c r="X10" s="28"/>
      <c r="Y10" s="28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K10" s="28"/>
      <c r="AL10" s="54"/>
      <c r="AM10" s="54"/>
      <c r="AN10" s="54"/>
      <c r="AO10" s="54"/>
      <c r="AP10" s="54"/>
      <c r="AQ10" s="54"/>
      <c r="AR10" s="54"/>
      <c r="AS10" s="54"/>
      <c r="AT10" s="54"/>
      <c r="AU10" s="28"/>
      <c r="AV10" s="28"/>
    </row>
    <row r="11" spans="2:48" x14ac:dyDescent="0.25">
      <c r="C11" s="447"/>
      <c r="D11" s="460"/>
      <c r="E11" s="450"/>
      <c r="F11" s="213" t="s">
        <v>8</v>
      </c>
      <c r="G11" s="438"/>
      <c r="H11" s="218"/>
      <c r="I11" s="438"/>
      <c r="J11" s="218"/>
      <c r="K11" s="396"/>
      <c r="L11" s="396"/>
      <c r="M11" s="403"/>
      <c r="N11" s="398" t="str">
        <f>Z23</f>
        <v>Dinamarca</v>
      </c>
      <c r="O11" s="379">
        <f t="shared" ref="O11:V11" si="2">AA23</f>
        <v>0</v>
      </c>
      <c r="P11" s="379">
        <f t="shared" si="2"/>
        <v>0</v>
      </c>
      <c r="Q11" s="379">
        <f t="shared" si="2"/>
        <v>0</v>
      </c>
      <c r="R11" s="379">
        <f t="shared" si="2"/>
        <v>0</v>
      </c>
      <c r="S11" s="379">
        <f t="shared" si="2"/>
        <v>0</v>
      </c>
      <c r="T11" s="379">
        <f t="shared" si="2"/>
        <v>0</v>
      </c>
      <c r="U11" s="525">
        <f t="shared" si="2"/>
        <v>0</v>
      </c>
      <c r="V11" s="397">
        <f t="shared" si="2"/>
        <v>0</v>
      </c>
      <c r="W11" s="28"/>
      <c r="X11" s="28"/>
      <c r="Y11" s="28"/>
      <c r="Z11" s="386" t="str">
        <f>Z18</f>
        <v>Dinamarca</v>
      </c>
      <c r="AA11" s="389">
        <f>SUM(IF(AND($H$9&lt;&gt;"",$J$9&lt;&gt;"",$J$9&lt;$H$9),1,0)+IF(AND($H$13&lt;&gt;"",$J$13&lt;&gt;"",$H$13&lt;J$13),1,0)+IF(AND($H$15&lt;&gt;"",$J$15&lt;&gt;"",$H$15&lt;$J$15),1,0))</f>
        <v>0</v>
      </c>
      <c r="AB11" s="389">
        <f>SUM(IF(AND($H$9&lt;&gt;"",$J$9&lt;&gt;"",$J$9=$H$9),1,0)+IF(AND($H$13&lt;&gt;"",$J$13&lt;&gt;"",$H$13=$J$13),1,0)+IF(AND($H$15&lt;&gt;"",$J$15&lt;&gt;"",$H$15=$J$15),1,0))</f>
        <v>0</v>
      </c>
      <c r="AC11" s="389">
        <f>SUM(IF(AND($H$9&lt;&gt;"",$J$9&lt;&gt;"",$J$9&gt;$H$9),1,0)+IF(AND($H$13&lt;&gt;"",$J$13&lt;&gt;"",$H$13&gt;$J$13),1,0)+IF(AND($H$15&lt;&gt;"",$J$15&lt;&gt;"",$H$15&gt;$J$15),1,0))</f>
        <v>0</v>
      </c>
      <c r="AD11" s="389">
        <f>SUM($H$9,$J$13,$J$15)</f>
        <v>0</v>
      </c>
      <c r="AE11" s="391">
        <f>SUM($J$9,$H$13,$H$15)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2:48" x14ac:dyDescent="0.25">
      <c r="B12" s="38" t="str">
        <f>CONCATENATE(MID($C$2,7,1),4)</f>
        <v>D4</v>
      </c>
      <c r="C12" s="447">
        <v>44891</v>
      </c>
      <c r="D12" s="460">
        <v>0.45833333333333331</v>
      </c>
      <c r="E12" s="450">
        <v>974</v>
      </c>
      <c r="F12" s="169" t="s">
        <v>7</v>
      </c>
      <c r="G12" s="438" t="str">
        <f>Z16</f>
        <v>Francia</v>
      </c>
      <c r="H12" s="709">
        <f>VLOOKUP(B12,DB_PARTIDOS!$A$1:$I$65,5)</f>
        <v>2</v>
      </c>
      <c r="I12" s="438" t="str">
        <f>Z18</f>
        <v>Dinamarca</v>
      </c>
      <c r="J12" s="709">
        <f>VLOOKUP($B$12,DB_PARTIDOS!$A$1:$I$65,7)</f>
        <v>1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398"/>
      <c r="O12" s="379"/>
      <c r="P12" s="379"/>
      <c r="Q12" s="379"/>
      <c r="R12" s="379"/>
      <c r="S12" s="379"/>
      <c r="T12" s="379"/>
      <c r="U12" s="525"/>
      <c r="V12" s="397"/>
      <c r="W12" s="28"/>
      <c r="X12" s="28"/>
      <c r="Y12" s="28"/>
      <c r="Z12" s="386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K12" s="28"/>
      <c r="AL12" s="51"/>
      <c r="AM12" s="54"/>
      <c r="AN12" s="54"/>
      <c r="AO12" s="54"/>
      <c r="AP12" s="54"/>
      <c r="AQ12" s="54"/>
      <c r="AR12" s="54"/>
      <c r="AS12" s="54"/>
      <c r="AT12" s="28"/>
      <c r="AU12" s="28"/>
      <c r="AV12" s="28"/>
    </row>
    <row r="13" spans="2:48" x14ac:dyDescent="0.25">
      <c r="C13" s="447"/>
      <c r="D13" s="460"/>
      <c r="E13" s="450"/>
      <c r="F13" s="213" t="s">
        <v>8</v>
      </c>
      <c r="G13" s="438"/>
      <c r="H13" s="218"/>
      <c r="I13" s="438"/>
      <c r="J13" s="218"/>
      <c r="K13" s="396"/>
      <c r="L13" s="396"/>
      <c r="M13" s="403"/>
      <c r="N13" s="398" t="str">
        <f>Z24</f>
        <v>Australia</v>
      </c>
      <c r="O13" s="379">
        <f t="shared" ref="O13:V13" si="3">AA24</f>
        <v>0</v>
      </c>
      <c r="P13" s="379">
        <f t="shared" si="3"/>
        <v>0</v>
      </c>
      <c r="Q13" s="379">
        <f t="shared" si="3"/>
        <v>0</v>
      </c>
      <c r="R13" s="379">
        <f t="shared" si="3"/>
        <v>0</v>
      </c>
      <c r="S13" s="379">
        <f t="shared" si="3"/>
        <v>0</v>
      </c>
      <c r="T13" s="379">
        <f t="shared" si="3"/>
        <v>0</v>
      </c>
      <c r="U13" s="525">
        <f t="shared" si="3"/>
        <v>0</v>
      </c>
      <c r="V13" s="397">
        <f t="shared" si="3"/>
        <v>0</v>
      </c>
      <c r="W13" s="28"/>
      <c r="X13" s="28"/>
      <c r="Y13" s="28"/>
      <c r="Z13" s="386" t="str">
        <f>Z19</f>
        <v>Australia</v>
      </c>
      <c r="AA13" s="389">
        <f>SUM(IF(AND($H$7&lt;&gt;"",$J$7&lt;&gt;"",$J$7&gt;$H$7),1,0)+IF(AND($H$11&lt;&gt;"",$J$11&lt;&gt;"",$J$11&gt;$H$11),1,0)+IF(AND($H$15&lt;&gt;"",$J$15&lt;&gt;"",$H$15&gt;$J$15),1,0))</f>
        <v>0</v>
      </c>
      <c r="AB13" s="389">
        <f>SUM(IF(AND($H$7&lt;&gt;"",$J$7&lt;&gt;"",$J$7=$H$7),1,0)+IF(AND($H$11&lt;&gt;"",$J$11&lt;&gt;"",$J$11=$H$11),1,0)+IF(AND($H$15&lt;&gt;"",$J$15&lt;&gt;"",$H$15=$J$15),1,0))</f>
        <v>0</v>
      </c>
      <c r="AC13" s="389">
        <f>SUM(IF(AND($H$7&lt;&gt;"",$J$7&lt;&gt;"",$J$7&lt;$H$7),1,0)+IF(AND($H$11&lt;&gt;"",$J$11&lt;&gt;"",$J$11&lt;$H$11),1,0)+IF(AND($H$15&lt;&gt;"",$J$15&lt;&gt;"",$H$15&lt;$J$15),1,0))</f>
        <v>0</v>
      </c>
      <c r="AD13" s="389">
        <f>SUM($J$7,$J$11,$H$15)</f>
        <v>0</v>
      </c>
      <c r="AE13" s="391">
        <f>SUM($H$7,$H$11,$J$15)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K13" s="28"/>
      <c r="AL13" s="54"/>
      <c r="AM13" s="54"/>
      <c r="AN13" s="54"/>
      <c r="AO13" s="54"/>
      <c r="AP13" s="54"/>
      <c r="AQ13" s="54"/>
      <c r="AR13" s="54"/>
      <c r="AS13" s="54"/>
      <c r="AT13" s="28"/>
      <c r="AU13" s="28"/>
      <c r="AV13" s="28"/>
    </row>
    <row r="14" spans="2:48" ht="15.75" thickBot="1" x14ac:dyDescent="0.3">
      <c r="B14" s="38" t="str">
        <f>CONCATENATE(MID($C$2,7,1),5)</f>
        <v>D5</v>
      </c>
      <c r="C14" s="447">
        <v>44895</v>
      </c>
      <c r="D14" s="460">
        <v>0.41666666666666669</v>
      </c>
      <c r="E14" s="450" t="s">
        <v>199</v>
      </c>
      <c r="F14" s="169" t="s">
        <v>7</v>
      </c>
      <c r="G14" s="438" t="str">
        <f>Z19</f>
        <v>Australia</v>
      </c>
      <c r="H14" s="709">
        <f>VLOOKUP(B14,DB_PARTIDOS!$A$1:$I$65,5)</f>
        <v>1</v>
      </c>
      <c r="I14" s="438" t="str">
        <f>Z18</f>
        <v>Dinamarca</v>
      </c>
      <c r="J14" s="709">
        <f>VLOOKUP($B$14,DB_PARTIDOS!$A$1:$I$65,7)</f>
        <v>2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399"/>
      <c r="O14" s="400"/>
      <c r="P14" s="400"/>
      <c r="Q14" s="400"/>
      <c r="R14" s="400"/>
      <c r="S14" s="400"/>
      <c r="T14" s="400"/>
      <c r="U14" s="526"/>
      <c r="V14" s="401"/>
      <c r="W14" s="28"/>
      <c r="X14" s="28"/>
      <c r="Y14" s="28"/>
      <c r="Z14" s="386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K14" s="28"/>
      <c r="AL14" s="54"/>
      <c r="AM14" s="54"/>
      <c r="AN14" s="54"/>
      <c r="AO14" s="54"/>
      <c r="AP14" s="54"/>
      <c r="AQ14" s="54"/>
      <c r="AR14" s="54"/>
      <c r="AS14" s="54"/>
      <c r="AT14" s="28"/>
      <c r="AU14" s="28"/>
      <c r="AV14" s="28"/>
    </row>
    <row r="15" spans="2:48" ht="15.75" thickBot="1" x14ac:dyDescent="0.3">
      <c r="C15" s="447"/>
      <c r="D15" s="460"/>
      <c r="E15" s="450"/>
      <c r="F15" s="213" t="s">
        <v>8</v>
      </c>
      <c r="G15" s="438"/>
      <c r="H15" s="218"/>
      <c r="I15" s="438"/>
      <c r="J15" s="218"/>
      <c r="K15" s="396"/>
      <c r="L15" s="396"/>
      <c r="M15" s="403"/>
      <c r="N15" s="205" t="s">
        <v>26</v>
      </c>
      <c r="O15" s="524" t="s">
        <v>22</v>
      </c>
      <c r="P15" s="524"/>
      <c r="Q15" s="524"/>
      <c r="R15" s="524"/>
      <c r="S15" s="524" t="s">
        <v>23</v>
      </c>
      <c r="T15" s="524"/>
      <c r="U15" s="524"/>
      <c r="V15" s="134" t="s">
        <v>25</v>
      </c>
      <c r="W15" s="28"/>
      <c r="X15" s="28"/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  <c r="AT15" s="28"/>
      <c r="AU15" s="28"/>
      <c r="AV15" s="28"/>
    </row>
    <row r="16" spans="2:48" x14ac:dyDescent="0.25">
      <c r="B16" s="38" t="str">
        <f>CONCATENATE(MID($C$2,7,1),6)</f>
        <v>D6</v>
      </c>
      <c r="C16" s="447">
        <v>44895</v>
      </c>
      <c r="D16" s="460">
        <v>0.41666666666666669</v>
      </c>
      <c r="E16" s="450" t="s">
        <v>197</v>
      </c>
      <c r="F16" s="169" t="s">
        <v>7</v>
      </c>
      <c r="G16" s="438" t="str">
        <f>Z17</f>
        <v>Túnez</v>
      </c>
      <c r="H16" s="709">
        <f>VLOOKUP(B16,DB_PARTIDOS!$A$1:$I$65,5)</f>
        <v>0</v>
      </c>
      <c r="I16" s="438" t="str">
        <f>Z16</f>
        <v>Francia</v>
      </c>
      <c r="J16" s="709">
        <f>VLOOKUP($B$16,DB_PARTIDOS!$A$1:$I$65,7)</f>
        <v>3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Francia</v>
      </c>
      <c r="P16" s="711"/>
      <c r="Q16" s="711"/>
      <c r="R16" s="711"/>
      <c r="S16" s="395" t="str">
        <f>N7</f>
        <v>Francia</v>
      </c>
      <c r="T16" s="395"/>
      <c r="U16" s="395"/>
      <c r="V16" s="306">
        <f>IF(OR(O16=S16,O16=S17),AC28,0)+IF(O16=S16,2,0)</f>
        <v>4</v>
      </c>
      <c r="W16" s="28"/>
      <c r="X16" s="28" t="str">
        <f>CONCATENATE(MID($C$2,7,1),N16)</f>
        <v>D1</v>
      </c>
      <c r="Z16" s="61" t="s">
        <v>108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  <c r="AT16" s="28"/>
      <c r="AU16" s="28"/>
      <c r="AV16" s="28"/>
    </row>
    <row r="17" spans="3:48" ht="15.75" thickBot="1" x14ac:dyDescent="0.3">
      <c r="C17" s="448"/>
      <c r="D17" s="523"/>
      <c r="E17" s="494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Dinamarca</v>
      </c>
      <c r="P17" s="714"/>
      <c r="Q17" s="714"/>
      <c r="R17" s="714"/>
      <c r="S17" s="437" t="str">
        <f>N9</f>
        <v>Túnez</v>
      </c>
      <c r="T17" s="437"/>
      <c r="U17" s="437"/>
      <c r="V17" s="307">
        <f>IF(OR(O17=S17,O17=S16),AC28,0)+IF(O17=S17,2,0)</f>
        <v>0</v>
      </c>
      <c r="W17" s="28"/>
      <c r="X17" s="28" t="str">
        <f>CONCATENATE(MID($C$2,7,1),N17)</f>
        <v>D2</v>
      </c>
      <c r="Z17" s="68" t="s">
        <v>152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  <c r="AT17" s="28"/>
      <c r="AU17" s="28"/>
      <c r="AV17" s="28"/>
    </row>
    <row r="18" spans="3:48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8"/>
      <c r="X18" s="28"/>
      <c r="Z18" s="68" t="s">
        <v>149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  <c r="AT18" s="28"/>
      <c r="AU18" s="28"/>
      <c r="AV18" s="28"/>
    </row>
    <row r="19" spans="3:48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8"/>
      <c r="X19" s="28"/>
      <c r="Z19" s="68" t="s">
        <v>103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  <c r="AT19" s="28"/>
      <c r="AU19" s="28"/>
      <c r="AV19" s="28"/>
    </row>
    <row r="20" spans="3:48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8"/>
      <c r="X20" s="28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  <c r="AT20" s="28"/>
      <c r="AU20" s="28"/>
      <c r="AV20" s="28"/>
    </row>
    <row r="21" spans="3:48" ht="15" customHeight="1" thickBot="1" x14ac:dyDescent="0.3">
      <c r="C21" s="373"/>
      <c r="D21" s="374"/>
      <c r="E21" s="28"/>
      <c r="F21" s="28"/>
      <c r="G21" s="28"/>
      <c r="H21" s="28"/>
      <c r="I21" s="28"/>
      <c r="J21" s="517" t="s">
        <v>89</v>
      </c>
      <c r="K21" s="518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W21" s="28"/>
      <c r="X21" s="28"/>
      <c r="Y21" s="61">
        <v>1</v>
      </c>
      <c r="Z21" s="62" t="str">
        <f>INDEX(Equipos,MATCH($Y21,Jera2,0))</f>
        <v>Francia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  <c r="AT21" s="28"/>
      <c r="AU21" s="28"/>
      <c r="AV21" s="28"/>
    </row>
    <row r="22" spans="3:48" ht="15" customHeight="1" thickBot="1" x14ac:dyDescent="0.3">
      <c r="C22" s="157" t="s">
        <v>57</v>
      </c>
      <c r="D22" s="165" t="s">
        <v>26</v>
      </c>
      <c r="E22" s="28"/>
      <c r="F22" s="28"/>
      <c r="G22" s="28"/>
      <c r="H22" s="28"/>
      <c r="I22" s="28"/>
      <c r="J22" s="519"/>
      <c r="K22" s="520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W22" s="28"/>
      <c r="X22" s="28"/>
      <c r="Y22" s="68">
        <v>2</v>
      </c>
      <c r="Z22" s="69" t="str">
        <f>INDEX(Equipos,MATCH(Y22,Jera2,0))</f>
        <v>Túnez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  <c r="AT22" s="28"/>
      <c r="AU22" s="28"/>
      <c r="AV22" s="28"/>
    </row>
    <row r="23" spans="3:48" ht="15" customHeight="1" thickBot="1" x14ac:dyDescent="0.3">
      <c r="C23" s="210" t="str">
        <f>Z7</f>
        <v>Francia</v>
      </c>
      <c r="D23" s="109">
        <v>1</v>
      </c>
      <c r="E23" s="28"/>
      <c r="F23" s="28"/>
      <c r="G23" s="28"/>
      <c r="H23" s="28"/>
      <c r="I23" s="28"/>
      <c r="J23" s="521"/>
      <c r="K23" s="522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W23" s="28"/>
      <c r="X23" s="28"/>
      <c r="Y23" s="68">
        <v>3</v>
      </c>
      <c r="Z23" s="69" t="str">
        <f>INDEX(Equipos,MATCH(Y23,Jera2,0))</f>
        <v>Dinamarca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  <c r="AT23" s="28"/>
      <c r="AU23" s="28"/>
      <c r="AV23" s="28"/>
    </row>
    <row r="24" spans="3:48" ht="15.75" thickBot="1" x14ac:dyDescent="0.3">
      <c r="C24" s="211" t="str">
        <f>Z9</f>
        <v>Túnez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8"/>
      <c r="X24" s="28"/>
      <c r="Y24" s="85">
        <v>4</v>
      </c>
      <c r="Z24" s="78" t="str">
        <f>INDEX(Equipos,MATCH(Y24,Jera2,0))</f>
        <v>Australia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  <c r="AT24" s="28"/>
      <c r="AU24" s="28"/>
      <c r="AV24" s="28"/>
    </row>
    <row r="25" spans="3:48" ht="15.75" thickBot="1" x14ac:dyDescent="0.3">
      <c r="C25" s="211" t="str">
        <f>Z11</f>
        <v>Dinamarca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8"/>
      <c r="X25" s="28"/>
      <c r="AT25" s="28"/>
      <c r="AU25" s="28"/>
      <c r="AV25" s="28"/>
    </row>
    <row r="26" spans="3:48" ht="15.75" thickBot="1" x14ac:dyDescent="0.3">
      <c r="C26" s="212" t="str">
        <f>Z13</f>
        <v>Australia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8"/>
      <c r="X26" s="28"/>
      <c r="AA26" s="382" t="s">
        <v>65</v>
      </c>
      <c r="AB26" s="383"/>
      <c r="AC26" s="384"/>
      <c r="AD26" s="3"/>
      <c r="AT26" s="28"/>
      <c r="AU26" s="28"/>
      <c r="AV26" s="28"/>
    </row>
    <row r="27" spans="3:48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28"/>
      <c r="X27" s="28"/>
      <c r="AA27" s="62" t="s">
        <v>66</v>
      </c>
      <c r="AB27" s="62" t="s">
        <v>67</v>
      </c>
      <c r="AC27" s="62" t="s">
        <v>68</v>
      </c>
      <c r="AT27" s="28"/>
      <c r="AU27" s="28"/>
      <c r="AV27" s="28"/>
    </row>
    <row r="28" spans="3:48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92"/>
      <c r="W28" s="28"/>
      <c r="X28" s="28"/>
      <c r="AA28" s="69">
        <v>2</v>
      </c>
      <c r="AB28" s="69">
        <v>2</v>
      </c>
      <c r="AC28" s="69">
        <v>2</v>
      </c>
      <c r="AT28" s="28"/>
      <c r="AU28" s="28"/>
      <c r="AV28" s="28"/>
    </row>
    <row r="29" spans="3:48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92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3:48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92"/>
    </row>
    <row r="31" spans="3:48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92"/>
    </row>
    <row r="32" spans="3:48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92"/>
    </row>
    <row r="33" spans="4:15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92"/>
    </row>
    <row r="34" spans="4:15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105"/>
      <c r="O34" s="92"/>
    </row>
    <row r="35" spans="4:15" x14ac:dyDescent="0.25">
      <c r="G35" s="92"/>
      <c r="H35" s="92"/>
      <c r="I35" s="92"/>
      <c r="J35" s="92"/>
      <c r="K35" s="92"/>
      <c r="L35" s="92"/>
      <c r="M35" s="92"/>
      <c r="N35" s="92"/>
      <c r="O35" s="92"/>
    </row>
    <row r="36" spans="4:15" x14ac:dyDescent="0.25">
      <c r="G36" s="92"/>
      <c r="H36" s="92"/>
      <c r="I36" s="92"/>
      <c r="J36" s="92"/>
      <c r="K36" s="92"/>
      <c r="L36" s="92"/>
      <c r="M36" s="92"/>
      <c r="N36" s="92"/>
      <c r="O36" s="92"/>
    </row>
    <row r="37" spans="4:15" x14ac:dyDescent="0.25">
      <c r="G37" s="92"/>
      <c r="H37" s="92"/>
      <c r="I37" s="92"/>
      <c r="J37" s="92"/>
      <c r="K37" s="92"/>
      <c r="L37" s="92"/>
      <c r="M37" s="92"/>
      <c r="N37" s="92"/>
      <c r="O37" s="92"/>
    </row>
    <row r="38" spans="4:15" x14ac:dyDescent="0.25">
      <c r="G38" s="92"/>
      <c r="H38" s="92"/>
      <c r="I38" s="92"/>
      <c r="J38" s="92"/>
      <c r="K38" s="92"/>
      <c r="L38" s="92"/>
      <c r="M38" s="92"/>
      <c r="N38" s="92"/>
      <c r="O38" s="92"/>
    </row>
  </sheetData>
  <sheetProtection algorithmName="SHA-512" hashValue="qMZXK6I4BfM9m3Npv/KddggZhKlqiD9O0klbU1pugLFjFYVMyqRfW94mU4ycV5lz5bIOk62otcrtWean6mcrGA==" saltValue="fVWmWP7Fe/4JhOgjTdsKGA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conditionalFormatting sqref="H28:H33">
    <cfRule type="cellIs" dxfId="7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0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53" t="s">
        <v>83</v>
      </c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  <c r="T2" s="554"/>
      <c r="U2" s="554"/>
      <c r="V2" s="555"/>
    </row>
    <row r="3" spans="2:46" ht="15.75" customHeight="1" thickBot="1" x14ac:dyDescent="0.3">
      <c r="C3" s="556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  <c r="U3" s="557"/>
      <c r="V3" s="558"/>
    </row>
    <row r="4" spans="2:46" x14ac:dyDescent="0.25">
      <c r="C4" s="559" t="s">
        <v>28</v>
      </c>
      <c r="D4" s="560"/>
      <c r="E4" s="560"/>
      <c r="F4" s="560"/>
      <c r="G4" s="560"/>
      <c r="H4" s="560"/>
      <c r="I4" s="560"/>
      <c r="J4" s="561"/>
      <c r="K4" s="562" t="s">
        <v>24</v>
      </c>
      <c r="L4" s="563"/>
      <c r="M4" s="564"/>
      <c r="N4" s="565" t="s">
        <v>21</v>
      </c>
      <c r="O4" s="563"/>
      <c r="P4" s="563"/>
      <c r="Q4" s="563"/>
      <c r="R4" s="563"/>
      <c r="S4" s="563"/>
      <c r="T4" s="563"/>
      <c r="U4" s="563"/>
      <c r="V4" s="566"/>
    </row>
    <row r="5" spans="2:46" ht="15.75" thickBot="1" x14ac:dyDescent="0.3">
      <c r="C5" s="174" t="s">
        <v>0</v>
      </c>
      <c r="D5" s="302" t="s">
        <v>1</v>
      </c>
      <c r="E5" s="302" t="s">
        <v>196</v>
      </c>
      <c r="F5" s="302" t="s">
        <v>2</v>
      </c>
      <c r="G5" s="570" t="s">
        <v>3</v>
      </c>
      <c r="H5" s="570"/>
      <c r="I5" s="570"/>
      <c r="J5" s="571"/>
      <c r="K5" s="312" t="s">
        <v>9</v>
      </c>
      <c r="L5" s="186" t="s">
        <v>10</v>
      </c>
      <c r="M5" s="187" t="s">
        <v>11</v>
      </c>
      <c r="N5" s="567"/>
      <c r="O5" s="568"/>
      <c r="P5" s="568"/>
      <c r="Q5" s="568"/>
      <c r="R5" s="568"/>
      <c r="S5" s="568"/>
      <c r="T5" s="568"/>
      <c r="U5" s="568"/>
      <c r="V5" s="569"/>
    </row>
    <row r="6" spans="2:46" ht="15.75" thickBot="1" x14ac:dyDescent="0.3">
      <c r="B6" s="38" t="str">
        <f>CONCATENATE(MID($C$2,7,1),1)</f>
        <v>E1</v>
      </c>
      <c r="C6" s="422">
        <v>44888</v>
      </c>
      <c r="D6" s="423">
        <v>0.45833333333333331</v>
      </c>
      <c r="E6" s="424" t="s">
        <v>193</v>
      </c>
      <c r="F6" s="168" t="s">
        <v>7</v>
      </c>
      <c r="G6" s="440" t="str">
        <f>Z16</f>
        <v>España</v>
      </c>
      <c r="H6" s="708">
        <f>VLOOKUP($B$6,DB_PARTIDOS!$A$1:$I$65,5)</f>
        <v>2</v>
      </c>
      <c r="I6" s="440" t="str">
        <f>Z19</f>
        <v>Costa Rica</v>
      </c>
      <c r="J6" s="708">
        <f>VLOOKUP($B$6,DB_PARTIDOS!$A$1:$I$65,7)</f>
        <v>0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202" t="s">
        <v>12</v>
      </c>
      <c r="O6" s="121" t="s">
        <v>13</v>
      </c>
      <c r="P6" s="121" t="s">
        <v>14</v>
      </c>
      <c r="Q6" s="121" t="s">
        <v>15</v>
      </c>
      <c r="R6" s="121" t="s">
        <v>16</v>
      </c>
      <c r="S6" s="121" t="s">
        <v>17</v>
      </c>
      <c r="T6" s="121" t="s">
        <v>18</v>
      </c>
      <c r="U6" s="121" t="s">
        <v>19</v>
      </c>
      <c r="V6" s="122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375"/>
      <c r="D7" s="377"/>
      <c r="E7" s="379"/>
      <c r="F7" s="213" t="s">
        <v>8</v>
      </c>
      <c r="G7" s="438"/>
      <c r="H7" s="218"/>
      <c r="I7" s="438"/>
      <c r="J7" s="218"/>
      <c r="K7" s="396"/>
      <c r="L7" s="396"/>
      <c r="M7" s="403"/>
      <c r="N7" s="398" t="str">
        <f>Z21</f>
        <v>España</v>
      </c>
      <c r="O7" s="379">
        <f t="shared" ref="O7:U7" si="0">AA21</f>
        <v>0</v>
      </c>
      <c r="P7" s="379">
        <f t="shared" si="0"/>
        <v>0</v>
      </c>
      <c r="Q7" s="379">
        <f t="shared" si="0"/>
        <v>0</v>
      </c>
      <c r="R7" s="379">
        <f t="shared" si="0"/>
        <v>0</v>
      </c>
      <c r="S7" s="379">
        <f t="shared" si="0"/>
        <v>0</v>
      </c>
      <c r="T7" s="379">
        <f t="shared" si="0"/>
        <v>0</v>
      </c>
      <c r="U7" s="525">
        <f t="shared" si="0"/>
        <v>0</v>
      </c>
      <c r="V7" s="397">
        <f>AH21</f>
        <v>0</v>
      </c>
      <c r="Z7" s="385" t="str">
        <f>Z16</f>
        <v>España</v>
      </c>
      <c r="AA7" s="393">
        <f>SUM(IF(AND($H$7&lt;&gt;"",$J$7&lt;&gt;"",$H$7&gt;$J$7),1,0)+IF(AND($H$13&lt;&gt;"",$J$13&lt;&gt;"",$H$13&gt;$J$13),1,0)+IF(AND($H$17&lt;&gt;"",$J$17&lt;&gt;"",$J$17&gt;$H$17),1,0))</f>
        <v>0</v>
      </c>
      <c r="AB7" s="393">
        <f>SUM(IF(AND($H$7&lt;&gt;"",$J$7&lt;&gt;"",$H$7=$J$7),1,0)+IF(AND($H$13&lt;&gt;"",$J$13&lt;&gt;"",$H$13=$J$13),1,0)+IF(AND($H$17&lt;&gt;"",$J$17&lt;&gt;"",$J$17=$H$17),1,0))</f>
        <v>0</v>
      </c>
      <c r="AC7" s="393">
        <f>SUM(IF(AND($H$7&lt;&gt;"",$J$7&lt;&gt;"",$H$7&lt;$J$7),1,0)+IF(AND($H$13&lt;&gt;"",$J$13&lt;&gt;"",$H$13&lt;$J$13),1,0)+IF(AND($H$17&lt;&gt;"",$J$17&lt;&gt;"",$J$17&lt;$H$17),1,0))</f>
        <v>0</v>
      </c>
      <c r="AD7" s="393">
        <f>SUM($H$7,$H$13,$J$17)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E2</v>
      </c>
      <c r="C8" s="375">
        <v>44888</v>
      </c>
      <c r="D8" s="377">
        <v>0.33333333333333331</v>
      </c>
      <c r="E8" s="381" t="s">
        <v>200</v>
      </c>
      <c r="F8" s="169" t="s">
        <v>7</v>
      </c>
      <c r="G8" s="438" t="str">
        <f>Z18</f>
        <v>Alemania</v>
      </c>
      <c r="H8" s="709">
        <f>VLOOKUP(B8,DB_PARTIDOS!$A$1:$I$65,5)</f>
        <v>4</v>
      </c>
      <c r="I8" s="438" t="str">
        <f>Z17</f>
        <v>Japón</v>
      </c>
      <c r="J8" s="709">
        <f>VLOOKUP($B$8,DB_PARTIDOS!$A$1:$I$65,7)</f>
        <v>1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398"/>
      <c r="O8" s="379"/>
      <c r="P8" s="379"/>
      <c r="Q8" s="379"/>
      <c r="R8" s="379"/>
      <c r="S8" s="379"/>
      <c r="T8" s="379"/>
      <c r="U8" s="525"/>
      <c r="V8" s="397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375"/>
      <c r="D9" s="377"/>
      <c r="E9" s="381"/>
      <c r="F9" s="213" t="s">
        <v>8</v>
      </c>
      <c r="G9" s="438"/>
      <c r="H9" s="218"/>
      <c r="I9" s="438"/>
      <c r="J9" s="218"/>
      <c r="K9" s="396"/>
      <c r="L9" s="396"/>
      <c r="M9" s="403"/>
      <c r="N9" s="398" t="str">
        <f>Z22</f>
        <v>Japón</v>
      </c>
      <c r="O9" s="379">
        <f t="shared" ref="O9:V9" si="1">AA22</f>
        <v>0</v>
      </c>
      <c r="P9" s="379">
        <f t="shared" si="1"/>
        <v>0</v>
      </c>
      <c r="Q9" s="379">
        <f t="shared" si="1"/>
        <v>0</v>
      </c>
      <c r="R9" s="379">
        <f t="shared" si="1"/>
        <v>0</v>
      </c>
      <c r="S9" s="379">
        <f t="shared" si="1"/>
        <v>0</v>
      </c>
      <c r="T9" s="379">
        <f t="shared" si="1"/>
        <v>0</v>
      </c>
      <c r="U9" s="525">
        <f t="shared" si="1"/>
        <v>0</v>
      </c>
      <c r="V9" s="397">
        <f t="shared" si="1"/>
        <v>0</v>
      </c>
      <c r="Z9" s="386" t="str">
        <f>Z17</f>
        <v>Japón</v>
      </c>
      <c r="AA9" s="389">
        <f>SUM(IF(AND($H$9&lt;&gt;"",$J$9&lt;&gt;"",$H$9&lt;$J$9),1,0)+IF(AND($H$11&lt;&gt;"",$J$11&lt;&gt;"",$J$11&lt;$H$11),1,0)+IF(AND($H$17&lt;&gt;"",$J$17&lt;&gt;"",$J$17&lt;$H$17),1,0))</f>
        <v>0</v>
      </c>
      <c r="AB9" s="389">
        <f>SUM(IF(AND($H$9&lt;&gt;"",$J$9&lt;&gt;"",$H$9=$J$9),1,0)+IF(AND($H$11&lt;&gt;"",$J$11&lt;&gt;"",$J$11=$H$11),1,0)+IF(AND($H$17&lt;&gt;"",$J$17&lt;&gt;"",$J$17=$H$17),1,0))</f>
        <v>0</v>
      </c>
      <c r="AC9" s="389">
        <f>SUM(IF(AND($H$9&lt;&gt;"",$J$9&lt;&gt;"",$H$9&gt;$J$9),1,0)+IF(AND($H$11&lt;&gt;"",$J$11&lt;&gt;"",$J$11&gt;$H$11),1,0)+IF(AND($H$17&lt;&gt;"",$J$17&lt;&gt;"",$J$17&gt;H$17),1,0))</f>
        <v>0</v>
      </c>
      <c r="AD9" s="389">
        <f>SUM($J$9,$H$11,$H$17)</f>
        <v>0</v>
      </c>
      <c r="AE9" s="391">
        <f>SUM($H$9,$J$11,$J$17)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E3</v>
      </c>
      <c r="C10" s="375">
        <v>44892</v>
      </c>
      <c r="D10" s="377">
        <v>0.20833333333333334</v>
      </c>
      <c r="E10" s="381" t="s">
        <v>195</v>
      </c>
      <c r="F10" s="169" t="s">
        <v>7</v>
      </c>
      <c r="G10" s="438" t="str">
        <f>Z17</f>
        <v>Japón</v>
      </c>
      <c r="H10" s="709">
        <f>VLOOKUP(B10,DB_PARTIDOS!$A$1:$I$65,5)</f>
        <v>1</v>
      </c>
      <c r="I10" s="438" t="str">
        <f>Z19</f>
        <v>Costa Rica</v>
      </c>
      <c r="J10" s="709">
        <f>VLOOKUP($B$10,DB_PARTIDOS!$A$1:$I$65,7)</f>
        <v>1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398"/>
      <c r="O10" s="379"/>
      <c r="P10" s="379"/>
      <c r="Q10" s="379"/>
      <c r="R10" s="379"/>
      <c r="S10" s="379"/>
      <c r="T10" s="379"/>
      <c r="U10" s="525"/>
      <c r="V10" s="397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375"/>
      <c r="D11" s="377"/>
      <c r="E11" s="381"/>
      <c r="F11" s="213" t="s">
        <v>8</v>
      </c>
      <c r="G11" s="438"/>
      <c r="H11" s="218"/>
      <c r="I11" s="438"/>
      <c r="J11" s="218"/>
      <c r="K11" s="396"/>
      <c r="L11" s="396"/>
      <c r="M11" s="403"/>
      <c r="N11" s="398" t="str">
        <f>Z23</f>
        <v>Alemania</v>
      </c>
      <c r="O11" s="379">
        <f t="shared" ref="O11:V11" si="2">AA23</f>
        <v>0</v>
      </c>
      <c r="P11" s="379">
        <f t="shared" si="2"/>
        <v>0</v>
      </c>
      <c r="Q11" s="379">
        <f t="shared" si="2"/>
        <v>0</v>
      </c>
      <c r="R11" s="379">
        <f t="shared" si="2"/>
        <v>0</v>
      </c>
      <c r="S11" s="379">
        <f t="shared" si="2"/>
        <v>0</v>
      </c>
      <c r="T11" s="379">
        <f t="shared" si="2"/>
        <v>0</v>
      </c>
      <c r="U11" s="525">
        <f t="shared" si="2"/>
        <v>0</v>
      </c>
      <c r="V11" s="397">
        <f t="shared" si="2"/>
        <v>0</v>
      </c>
      <c r="Z11" s="386" t="str">
        <f>Z18</f>
        <v>Alemania</v>
      </c>
      <c r="AA11" s="389">
        <f>SUM(IF(AND($H$9&lt;&gt;"",$J$9&lt;&gt;"",$J$9&lt;$H$9),1,0)+IF(AND($H$13&lt;&gt;"",$J$13&lt;&gt;"",$H$13&lt;J$13),1,0)+IF(AND($H$15&lt;&gt;"",$J$15&lt;&gt;"",$H$15&lt;$J$15),1,0))</f>
        <v>0</v>
      </c>
      <c r="AB11" s="389">
        <f>SUM(IF(AND($H$9&lt;&gt;"",$J$9&lt;&gt;"",$J$9=$H$9),1,0)+IF(AND($H$13&lt;&gt;"",$J$13&lt;&gt;"",$H$13=$J$13),1,0)+IF(AND($H$15&lt;&gt;"",$J$15&lt;&gt;"",$H$15=$J$15),1,0))</f>
        <v>0</v>
      </c>
      <c r="AC11" s="389">
        <f>SUM(IF(AND($H$9&lt;&gt;"",$J$9&lt;&gt;"",$J$9&gt;$H$9),1,0)+IF(AND($H$13&lt;&gt;"",$J$13&lt;&gt;"",$H$13&gt;$J$13),1,0)+IF(AND($H$15&lt;&gt;"",$J$15&lt;&gt;"",$H$15&gt;$J$15),1,0))</f>
        <v>0</v>
      </c>
      <c r="AD11" s="389">
        <f>SUM($H$9,$J$13,$J$15)</f>
        <v>0</v>
      </c>
      <c r="AE11" s="391">
        <f>SUM($J$9,$H$13,$H$15)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x14ac:dyDescent="0.25">
      <c r="B12" s="38" t="str">
        <f>CONCATENATE(MID($C$2,7,1),4)</f>
        <v>E4</v>
      </c>
      <c r="C12" s="375">
        <v>44892</v>
      </c>
      <c r="D12" s="377">
        <v>0.58333333333333337</v>
      </c>
      <c r="E12" s="379" t="s">
        <v>192</v>
      </c>
      <c r="F12" s="169" t="s">
        <v>7</v>
      </c>
      <c r="G12" s="438" t="str">
        <f>Z16</f>
        <v>España</v>
      </c>
      <c r="H12" s="709">
        <f>VLOOKUP(B12,DB_PARTIDOS!$A$1:$I$65,5)</f>
        <v>1</v>
      </c>
      <c r="I12" s="438" t="str">
        <f>Z18</f>
        <v>Alemania</v>
      </c>
      <c r="J12" s="709">
        <f>VLOOKUP($B$12,DB_PARTIDOS!$A$1:$I$65,7)</f>
        <v>1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398"/>
      <c r="O12" s="379"/>
      <c r="P12" s="379"/>
      <c r="Q12" s="379"/>
      <c r="R12" s="379"/>
      <c r="S12" s="379"/>
      <c r="T12" s="379"/>
      <c r="U12" s="525"/>
      <c r="V12" s="397"/>
      <c r="Z12" s="386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375"/>
      <c r="D13" s="377"/>
      <c r="E13" s="379"/>
      <c r="F13" s="213" t="s">
        <v>8</v>
      </c>
      <c r="G13" s="438"/>
      <c r="H13" s="218"/>
      <c r="I13" s="438"/>
      <c r="J13" s="218"/>
      <c r="K13" s="396"/>
      <c r="L13" s="396"/>
      <c r="M13" s="403"/>
      <c r="N13" s="398" t="str">
        <f>Z24</f>
        <v>Costa Rica</v>
      </c>
      <c r="O13" s="379">
        <f t="shared" ref="O13:V13" si="3">AA24</f>
        <v>0</v>
      </c>
      <c r="P13" s="379">
        <f t="shared" si="3"/>
        <v>0</v>
      </c>
      <c r="Q13" s="379">
        <f t="shared" si="3"/>
        <v>0</v>
      </c>
      <c r="R13" s="379">
        <f t="shared" si="3"/>
        <v>0</v>
      </c>
      <c r="S13" s="379">
        <f t="shared" si="3"/>
        <v>0</v>
      </c>
      <c r="T13" s="379">
        <f t="shared" si="3"/>
        <v>0</v>
      </c>
      <c r="U13" s="525">
        <f t="shared" si="3"/>
        <v>0</v>
      </c>
      <c r="V13" s="397">
        <f t="shared" si="3"/>
        <v>0</v>
      </c>
      <c r="Z13" s="386" t="str">
        <f>Z19</f>
        <v>Costa Rica</v>
      </c>
      <c r="AA13" s="389">
        <f>SUM(IF(AND($H$7&lt;&gt;"",$J$7&lt;&gt;"",$J$7&gt;$H$7),1,0)+IF(AND($H$11&lt;&gt;"",$J$11&lt;&gt;"",$J$11&gt;$H$11),1,0)+IF(AND($H$15&lt;&gt;"",$J$15&lt;&gt;"",$H$15&gt;$J$15),1,0))</f>
        <v>0</v>
      </c>
      <c r="AB13" s="389">
        <f>SUM(IF(AND($H$7&lt;&gt;"",$J$7&lt;&gt;"",$J$7=$H$7),1,0)+IF(AND($H$11&lt;&gt;"",$J$11&lt;&gt;"",$J$11=$H$11),1,0)+IF(AND($H$15&lt;&gt;"",$J$15&lt;&gt;"",$H$15=$J$15),1,0))</f>
        <v>0</v>
      </c>
      <c r="AC13" s="389">
        <f>SUM(IF(AND($H$7&lt;&gt;"",$J$7&lt;&gt;"",$J$7&lt;$H$7),1,0)+IF(AND($H$11&lt;&gt;"",$J$11&lt;&gt;"",$J$11&lt;$H$11),1,0)+IF(AND($H$15&lt;&gt;"",$J$15&lt;&gt;"",$H$15&lt;$J$15),1,0))</f>
        <v>0</v>
      </c>
      <c r="AD13" s="389">
        <f>SUM($J$7,$J$11,$H$15)</f>
        <v>0</v>
      </c>
      <c r="AE13" s="391">
        <f>SUM($H$7,$H$11,$J$15)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E5</v>
      </c>
      <c r="C14" s="375">
        <v>44896</v>
      </c>
      <c r="D14" s="377">
        <v>0.58333333333333337</v>
      </c>
      <c r="E14" s="379" t="s">
        <v>192</v>
      </c>
      <c r="F14" s="169" t="s">
        <v>7</v>
      </c>
      <c r="G14" s="438" t="str">
        <f>Z19</f>
        <v>Costa Rica</v>
      </c>
      <c r="H14" s="709">
        <f>VLOOKUP(B14,DB_PARTIDOS!$A$1:$I$65,5)</f>
        <v>1</v>
      </c>
      <c r="I14" s="438" t="str">
        <f>Z18</f>
        <v>Alemania</v>
      </c>
      <c r="J14" s="709">
        <f>VLOOKUP($B$14,DB_PARTIDOS!$A$1:$I$65,7)</f>
        <v>3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399"/>
      <c r="O14" s="400"/>
      <c r="P14" s="400"/>
      <c r="Q14" s="400"/>
      <c r="R14" s="400"/>
      <c r="S14" s="400"/>
      <c r="T14" s="400"/>
      <c r="U14" s="526"/>
      <c r="V14" s="401"/>
      <c r="Z14" s="387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375"/>
      <c r="D15" s="377"/>
      <c r="E15" s="379"/>
      <c r="F15" s="213" t="s">
        <v>8</v>
      </c>
      <c r="G15" s="438"/>
      <c r="H15" s="218"/>
      <c r="I15" s="438"/>
      <c r="J15" s="218"/>
      <c r="K15" s="396"/>
      <c r="L15" s="396"/>
      <c r="M15" s="403"/>
      <c r="N15" s="203" t="s">
        <v>26</v>
      </c>
      <c r="O15" s="552" t="s">
        <v>22</v>
      </c>
      <c r="P15" s="552"/>
      <c r="Q15" s="552"/>
      <c r="R15" s="552"/>
      <c r="S15" s="552" t="s">
        <v>23</v>
      </c>
      <c r="T15" s="552"/>
      <c r="U15" s="552"/>
      <c r="V15" s="133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E6</v>
      </c>
      <c r="C16" s="375">
        <v>44896</v>
      </c>
      <c r="D16" s="377">
        <v>0.58333333333333337</v>
      </c>
      <c r="E16" s="381" t="s">
        <v>200</v>
      </c>
      <c r="F16" s="169" t="s">
        <v>7</v>
      </c>
      <c r="G16" s="438" t="str">
        <f>Z17</f>
        <v>Japón</v>
      </c>
      <c r="H16" s="709">
        <f>VLOOKUP(B16,DB_PARTIDOS!$A$1:$I$65,5)</f>
        <v>1</v>
      </c>
      <c r="I16" s="438" t="str">
        <f>Z16</f>
        <v>España</v>
      </c>
      <c r="J16" s="709">
        <f>VLOOKUP($B$16,DB_PARTIDOS!$A$1:$I$65,7)</f>
        <v>3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Alemania</v>
      </c>
      <c r="P16" s="711"/>
      <c r="Q16" s="711"/>
      <c r="R16" s="711"/>
      <c r="S16" s="712" t="str">
        <f>N7</f>
        <v>España</v>
      </c>
      <c r="T16" s="712"/>
      <c r="U16" s="712"/>
      <c r="V16" s="306">
        <f>IF(OR(O16=S16,O16=S17),AC28,0)+IF(O16=S16,2,0)</f>
        <v>0</v>
      </c>
      <c r="X16" s="38" t="str">
        <f>CONCATENATE(MID($C$2,7,1),N16)</f>
        <v>E1</v>
      </c>
      <c r="Z16" s="61" t="s">
        <v>102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376"/>
      <c r="D17" s="378"/>
      <c r="E17" s="449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España</v>
      </c>
      <c r="P17" s="714"/>
      <c r="Q17" s="714"/>
      <c r="R17" s="714"/>
      <c r="S17" s="402" t="str">
        <f>N9</f>
        <v>Japón</v>
      </c>
      <c r="T17" s="402"/>
      <c r="U17" s="402"/>
      <c r="V17" s="307">
        <f>IF(OR(O17=S17,O17=S16),AC28,0)+IF(O17=S17,2,0)</f>
        <v>2</v>
      </c>
      <c r="X17" s="38" t="str">
        <f>CONCATENATE(MID($C$2,7,1),N17)</f>
        <v>E2</v>
      </c>
      <c r="Z17" s="68" t="s">
        <v>154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110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105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28"/>
      <c r="F21" s="28"/>
      <c r="G21" s="28"/>
      <c r="H21" s="28"/>
      <c r="I21" s="28"/>
      <c r="J21" s="546" t="s">
        <v>88</v>
      </c>
      <c r="K21" s="547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España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6" t="s">
        <v>57</v>
      </c>
      <c r="D22" s="164" t="s">
        <v>26</v>
      </c>
      <c r="E22" s="28"/>
      <c r="F22" s="28"/>
      <c r="G22" s="28"/>
      <c r="H22" s="28"/>
      <c r="I22" s="28"/>
      <c r="J22" s="548"/>
      <c r="K22" s="549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Japón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España</v>
      </c>
      <c r="D23" s="138">
        <v>1</v>
      </c>
      <c r="E23" s="28"/>
      <c r="F23" s="28"/>
      <c r="G23" s="28"/>
      <c r="H23" s="28"/>
      <c r="I23" s="28"/>
      <c r="J23" s="550"/>
      <c r="K23" s="551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Alemania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Japón</v>
      </c>
      <c r="D24" s="30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Costa Rica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Alemania</v>
      </c>
      <c r="D25" s="30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Costa Rica</v>
      </c>
      <c r="D26" s="31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54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54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54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54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54"/>
    </row>
    <row r="33" spans="5:15" x14ac:dyDescent="0.25">
      <c r="E33" s="54"/>
      <c r="F33" s="103"/>
      <c r="G33" s="104"/>
      <c r="H33" s="26"/>
      <c r="I33" s="105"/>
      <c r="J33" s="26"/>
      <c r="K33" s="105"/>
      <c r="L33" s="26"/>
      <c r="M33" s="105"/>
      <c r="N33" s="105"/>
      <c r="O33" s="54"/>
    </row>
    <row r="34" spans="5:15" x14ac:dyDescent="0.25">
      <c r="E34" s="54"/>
      <c r="F34" s="54"/>
      <c r="G34" s="54"/>
      <c r="H34" s="105"/>
      <c r="I34" s="105"/>
      <c r="J34" s="105"/>
      <c r="K34" s="105"/>
      <c r="L34" s="105"/>
      <c r="M34" s="105"/>
      <c r="N34" s="105"/>
      <c r="O34" s="54"/>
    </row>
    <row r="35" spans="5:15" x14ac:dyDescent="0.25">
      <c r="H35" s="92"/>
      <c r="I35" s="92"/>
      <c r="J35" s="92"/>
      <c r="K35" s="92"/>
      <c r="L35" s="92"/>
      <c r="M35" s="92"/>
      <c r="N35" s="92"/>
    </row>
    <row r="36" spans="5:15" x14ac:dyDescent="0.25">
      <c r="H36" s="92"/>
      <c r="I36" s="92"/>
      <c r="J36" s="92"/>
      <c r="K36" s="92"/>
      <c r="L36" s="92"/>
      <c r="M36" s="92"/>
      <c r="N36" s="92"/>
    </row>
    <row r="37" spans="5:15" x14ac:dyDescent="0.25">
      <c r="H37" s="92"/>
      <c r="I37" s="92"/>
      <c r="J37" s="92"/>
      <c r="K37" s="92"/>
      <c r="L37" s="92"/>
      <c r="M37" s="92"/>
      <c r="N37" s="92"/>
    </row>
    <row r="38" spans="5:15" x14ac:dyDescent="0.25">
      <c r="H38" s="92"/>
      <c r="I38" s="92"/>
      <c r="J38" s="92"/>
      <c r="K38" s="92"/>
      <c r="L38" s="92"/>
      <c r="M38" s="92"/>
      <c r="N38" s="92"/>
    </row>
    <row r="39" spans="5:15" x14ac:dyDescent="0.25">
      <c r="H39" s="92"/>
      <c r="I39" s="92"/>
      <c r="J39" s="92"/>
      <c r="K39" s="92"/>
      <c r="L39" s="92"/>
      <c r="M39" s="92"/>
      <c r="N39" s="92"/>
    </row>
    <row r="40" spans="5:15" x14ac:dyDescent="0.25">
      <c r="H40" s="92"/>
      <c r="I40" s="92"/>
      <c r="J40" s="92"/>
      <c r="K40" s="92"/>
      <c r="L40" s="92"/>
      <c r="M40" s="92"/>
      <c r="N40" s="92"/>
    </row>
  </sheetData>
  <sheetProtection algorithmName="SHA-512" hashValue="IngquUoS0HQUDzkDgMGGRs9r7atgeR9mmwpqknxurtlxJYs5yOtYlvUimsSjFPliC5hBndNRmx/iFo9PMQmHyw==" saltValue="AsB5keg0aCak9f6Yi1wjeg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conditionalFormatting sqref="I28:I33">
    <cfRule type="cellIs" dxfId="6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8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81" t="s">
        <v>84</v>
      </c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2"/>
      <c r="S2" s="582"/>
      <c r="T2" s="582"/>
      <c r="U2" s="582"/>
      <c r="V2" s="583"/>
    </row>
    <row r="3" spans="2:46" ht="15.75" customHeight="1" thickBot="1" x14ac:dyDescent="0.3">
      <c r="C3" s="584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5"/>
      <c r="R3" s="585"/>
      <c r="S3" s="585"/>
      <c r="T3" s="585"/>
      <c r="U3" s="585"/>
      <c r="V3" s="586"/>
    </row>
    <row r="4" spans="2:46" x14ac:dyDescent="0.25">
      <c r="C4" s="587" t="s">
        <v>28</v>
      </c>
      <c r="D4" s="588"/>
      <c r="E4" s="588"/>
      <c r="F4" s="588"/>
      <c r="G4" s="588"/>
      <c r="H4" s="588"/>
      <c r="I4" s="588"/>
      <c r="J4" s="589"/>
      <c r="K4" s="590" t="s">
        <v>24</v>
      </c>
      <c r="L4" s="591"/>
      <c r="M4" s="592"/>
      <c r="N4" s="593" t="s">
        <v>21</v>
      </c>
      <c r="O4" s="591"/>
      <c r="P4" s="591"/>
      <c r="Q4" s="591"/>
      <c r="R4" s="591"/>
      <c r="S4" s="591"/>
      <c r="T4" s="591"/>
      <c r="U4" s="591"/>
      <c r="V4" s="594"/>
    </row>
    <row r="5" spans="2:46" ht="15.75" thickBot="1" x14ac:dyDescent="0.3">
      <c r="C5" s="173" t="s">
        <v>0</v>
      </c>
      <c r="D5" s="303" t="s">
        <v>1</v>
      </c>
      <c r="E5" s="303" t="s">
        <v>196</v>
      </c>
      <c r="F5" s="303" t="s">
        <v>2</v>
      </c>
      <c r="G5" s="598" t="s">
        <v>3</v>
      </c>
      <c r="H5" s="598"/>
      <c r="I5" s="598"/>
      <c r="J5" s="599"/>
      <c r="K5" s="311" t="s">
        <v>9</v>
      </c>
      <c r="L5" s="184" t="s">
        <v>10</v>
      </c>
      <c r="M5" s="185" t="s">
        <v>11</v>
      </c>
      <c r="N5" s="595"/>
      <c r="O5" s="596"/>
      <c r="P5" s="596"/>
      <c r="Q5" s="596"/>
      <c r="R5" s="596"/>
      <c r="S5" s="596"/>
      <c r="T5" s="596"/>
      <c r="U5" s="596"/>
      <c r="V5" s="597"/>
    </row>
    <row r="6" spans="2:46" ht="15.75" customHeight="1" thickBot="1" x14ac:dyDescent="0.3">
      <c r="B6" s="38" t="str">
        <f>CONCATENATE(MID($C$2,7,1),1)</f>
        <v>F1</v>
      </c>
      <c r="C6" s="422">
        <v>44888</v>
      </c>
      <c r="D6" s="423">
        <v>0.58333333333333337</v>
      </c>
      <c r="E6" s="600" t="s">
        <v>195</v>
      </c>
      <c r="F6" s="168" t="s">
        <v>7</v>
      </c>
      <c r="G6" s="440" t="str">
        <f>Z16</f>
        <v>Bélgica</v>
      </c>
      <c r="H6" s="708">
        <f>VLOOKUP($B$6,DB_PARTIDOS!$A$1:$I$65,5)</f>
        <v>3</v>
      </c>
      <c r="I6" s="440" t="str">
        <f>Z19</f>
        <v>Canadá</v>
      </c>
      <c r="J6" s="708">
        <f>VLOOKUP($B$6,DB_PARTIDOS!$A$1:$I$65,7)</f>
        <v>1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200" t="s">
        <v>12</v>
      </c>
      <c r="O6" s="119" t="s">
        <v>13</v>
      </c>
      <c r="P6" s="119" t="s">
        <v>14</v>
      </c>
      <c r="Q6" s="119" t="s">
        <v>15</v>
      </c>
      <c r="R6" s="119" t="s">
        <v>16</v>
      </c>
      <c r="S6" s="119" t="s">
        <v>17</v>
      </c>
      <c r="T6" s="119" t="s">
        <v>18</v>
      </c>
      <c r="U6" s="119" t="s">
        <v>19</v>
      </c>
      <c r="V6" s="12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375"/>
      <c r="D7" s="377"/>
      <c r="E7" s="381"/>
      <c r="F7" s="213" t="s">
        <v>8</v>
      </c>
      <c r="G7" s="438"/>
      <c r="H7" s="218"/>
      <c r="I7" s="438"/>
      <c r="J7" s="218"/>
      <c r="K7" s="396"/>
      <c r="L7" s="396"/>
      <c r="M7" s="403"/>
      <c r="N7" s="457" t="str">
        <f>Z21</f>
        <v>Bélgica</v>
      </c>
      <c r="O7" s="453">
        <f t="shared" ref="O7:U7" si="0">AA21</f>
        <v>0</v>
      </c>
      <c r="P7" s="453">
        <f t="shared" si="0"/>
        <v>0</v>
      </c>
      <c r="Q7" s="453">
        <f t="shared" si="0"/>
        <v>0</v>
      </c>
      <c r="R7" s="453">
        <f t="shared" si="0"/>
        <v>0</v>
      </c>
      <c r="S7" s="453">
        <f t="shared" si="0"/>
        <v>0</v>
      </c>
      <c r="T7" s="453">
        <f t="shared" si="0"/>
        <v>0</v>
      </c>
      <c r="U7" s="579">
        <f t="shared" si="0"/>
        <v>0</v>
      </c>
      <c r="V7" s="455">
        <f>AH21</f>
        <v>0</v>
      </c>
      <c r="Z7" s="385" t="str">
        <f>Z16</f>
        <v>Bélgica</v>
      </c>
      <c r="AA7" s="393">
        <f>SUM(IF(AND($H$7&lt;&gt;"",$J$7&lt;&gt;"",$H$7&gt;$J$7),1,0)+IF(AND($H$13&lt;&gt;"",$J$13&lt;&gt;"",$H$13&gt;$J$13),1,0)+IF(AND($H$17&lt;&gt;"",$J$17&lt;&gt;"",$J$17&gt;$H$17),1,0))</f>
        <v>0</v>
      </c>
      <c r="AB7" s="393">
        <f>SUM(IF(AND($H$7&lt;&gt;"",$J$7&lt;&gt;"",$H$7=$J$7),1,0)+IF(AND($H$13&lt;&gt;"",$J$13&lt;&gt;"",$H$13=$J$13),1,0)+IF(AND($H$17&lt;&gt;"",$J$17&lt;&gt;"",$J$17=$H$17),1,0))</f>
        <v>0</v>
      </c>
      <c r="AC7" s="393">
        <f>SUM(IF(AND($H$7&lt;&gt;"",$J$7&lt;&gt;"",$H$7&lt;$J$7),1,0)+IF(AND($H$13&lt;&gt;"",$J$13&lt;&gt;"",$H$13&lt;$J$13),1,0)+IF(AND($H$17&lt;&gt;"",$J$17&lt;&gt;"",$J$17&lt;$H$17),1,0))</f>
        <v>0</v>
      </c>
      <c r="AD7" s="393">
        <f>SUM($H$7,$H$13,$J$17)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F2</v>
      </c>
      <c r="C8" s="375">
        <v>44888</v>
      </c>
      <c r="D8" s="377">
        <v>0.20833333333333334</v>
      </c>
      <c r="E8" s="379" t="s">
        <v>192</v>
      </c>
      <c r="F8" s="169" t="s">
        <v>7</v>
      </c>
      <c r="G8" s="438" t="str">
        <f>Z18</f>
        <v>Marruecos</v>
      </c>
      <c r="H8" s="709">
        <f>VLOOKUP(B8,DB_PARTIDOS!$A$1:$I$65,5)</f>
        <v>0</v>
      </c>
      <c r="I8" s="438" t="str">
        <f>Z17</f>
        <v>Croacia</v>
      </c>
      <c r="J8" s="709">
        <f>VLOOKUP($B$8,DB_PARTIDOS!$A$1:$I$65,7)</f>
        <v>2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457"/>
      <c r="O8" s="453"/>
      <c r="P8" s="453"/>
      <c r="Q8" s="453"/>
      <c r="R8" s="453"/>
      <c r="S8" s="453"/>
      <c r="T8" s="453"/>
      <c r="U8" s="579"/>
      <c r="V8" s="455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375"/>
      <c r="D9" s="377"/>
      <c r="E9" s="379"/>
      <c r="F9" s="213" t="s">
        <v>8</v>
      </c>
      <c r="G9" s="438"/>
      <c r="H9" s="218"/>
      <c r="I9" s="438"/>
      <c r="J9" s="218"/>
      <c r="K9" s="396"/>
      <c r="L9" s="396"/>
      <c r="M9" s="403"/>
      <c r="N9" s="457" t="str">
        <f>Z22</f>
        <v>Croacia</v>
      </c>
      <c r="O9" s="453">
        <f t="shared" ref="O9:V9" si="1">AA22</f>
        <v>0</v>
      </c>
      <c r="P9" s="453">
        <f t="shared" si="1"/>
        <v>0</v>
      </c>
      <c r="Q9" s="453">
        <f t="shared" si="1"/>
        <v>0</v>
      </c>
      <c r="R9" s="453">
        <f t="shared" si="1"/>
        <v>0</v>
      </c>
      <c r="S9" s="453">
        <f t="shared" si="1"/>
        <v>0</v>
      </c>
      <c r="T9" s="453">
        <f t="shared" si="1"/>
        <v>0</v>
      </c>
      <c r="U9" s="579">
        <f t="shared" si="1"/>
        <v>0</v>
      </c>
      <c r="V9" s="455">
        <f t="shared" si="1"/>
        <v>0</v>
      </c>
      <c r="Z9" s="386" t="str">
        <f>Z17</f>
        <v>Croacia</v>
      </c>
      <c r="AA9" s="389">
        <f>SUM(IF(AND($H$9&lt;&gt;"",$J$9&lt;&gt;"",$H$9&lt;$J$9),1,0)+IF(AND($H$11&lt;&gt;"",$J$11&lt;&gt;"",$J$11&lt;$H$11),1,0)+IF(AND($H$17&lt;&gt;"",$J$17&lt;&gt;"",$J$17&lt;$H$17),1,0))</f>
        <v>0</v>
      </c>
      <c r="AB9" s="389">
        <f>SUM(IF(AND($H$9&lt;&gt;"",$J$9&lt;&gt;"",$H$9=$J$9),1,0)+IF(AND($H$11&lt;&gt;"",$J$11&lt;&gt;"",$J$11=$H$11),1,0)+IF(AND($H$17&lt;&gt;"",$J$17&lt;&gt;"",$J$17=$H$17),1,0))</f>
        <v>0</v>
      </c>
      <c r="AC9" s="389">
        <f>SUM(IF(AND($H$9&lt;&gt;"",$J$9&lt;&gt;"",$H$9&gt;$J$9),1,0)+IF(AND($H$11&lt;&gt;"",$J$11&lt;&gt;"",$J$11&gt;$H$11),1,0)+IF(AND($H$17&lt;&gt;"",$J$17&lt;&gt;"",$J$17&gt;H$17),1,0))</f>
        <v>0</v>
      </c>
      <c r="AD9" s="389">
        <f>SUM($J$9,$H$11,$H$17)</f>
        <v>0</v>
      </c>
      <c r="AE9" s="391">
        <f>SUM($H$9,$J$11,$J$17)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F3</v>
      </c>
      <c r="C10" s="375">
        <v>44892</v>
      </c>
      <c r="D10" s="377">
        <v>0.45833333333333331</v>
      </c>
      <c r="E10" s="381" t="s">
        <v>200</v>
      </c>
      <c r="F10" s="169" t="s">
        <v>7</v>
      </c>
      <c r="G10" s="438" t="str">
        <f>Z17</f>
        <v>Croacia</v>
      </c>
      <c r="H10" s="709">
        <f>VLOOKUP(B10,DB_PARTIDOS!$A$1:$I$65,5)</f>
        <v>2</v>
      </c>
      <c r="I10" s="438" t="str">
        <f>Z19</f>
        <v>Canadá</v>
      </c>
      <c r="J10" s="709">
        <f>VLOOKUP($B$10,DB_PARTIDOS!$A$1:$I$65,7)</f>
        <v>1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457"/>
      <c r="O10" s="453"/>
      <c r="P10" s="453"/>
      <c r="Q10" s="453"/>
      <c r="R10" s="453"/>
      <c r="S10" s="453"/>
      <c r="T10" s="453"/>
      <c r="U10" s="579"/>
      <c r="V10" s="455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375"/>
      <c r="D11" s="377"/>
      <c r="E11" s="381"/>
      <c r="F11" s="213" t="s">
        <v>8</v>
      </c>
      <c r="G11" s="438"/>
      <c r="H11" s="218"/>
      <c r="I11" s="438"/>
      <c r="J11" s="218"/>
      <c r="K11" s="396"/>
      <c r="L11" s="396"/>
      <c r="M11" s="403"/>
      <c r="N11" s="457" t="str">
        <f>Z23</f>
        <v>Marruecos</v>
      </c>
      <c r="O11" s="453">
        <f t="shared" ref="O11:V11" si="2">AA23</f>
        <v>0</v>
      </c>
      <c r="P11" s="453">
        <f t="shared" si="2"/>
        <v>0</v>
      </c>
      <c r="Q11" s="453">
        <f t="shared" si="2"/>
        <v>0</v>
      </c>
      <c r="R11" s="453">
        <f t="shared" si="2"/>
        <v>0</v>
      </c>
      <c r="S11" s="453">
        <f t="shared" si="2"/>
        <v>0</v>
      </c>
      <c r="T11" s="453">
        <f t="shared" si="2"/>
        <v>0</v>
      </c>
      <c r="U11" s="579">
        <f t="shared" si="2"/>
        <v>0</v>
      </c>
      <c r="V11" s="455">
        <f t="shared" si="2"/>
        <v>0</v>
      </c>
      <c r="Z11" s="386" t="str">
        <f>Z18</f>
        <v>Marruecos</v>
      </c>
      <c r="AA11" s="389">
        <f>SUM(IF(AND($H$9&lt;&gt;"",$J$9&lt;&gt;"",$J$9&lt;$H$9),1,0)+IF(AND($H$13&lt;&gt;"",$J$13&lt;&gt;"",$H$13&lt;J$13),1,0)+IF(AND($H$15&lt;&gt;"",$J$15&lt;&gt;"",$H$15&lt;$J$15),1,0))</f>
        <v>0</v>
      </c>
      <c r="AB11" s="389">
        <f>SUM(IF(AND($H$9&lt;&gt;"",$J$9&lt;&gt;"",$J$9=$H$9),1,0)+IF(AND($H$13&lt;&gt;"",$J$13&lt;&gt;"",$H$13=$J$13),1,0)+IF(AND($H$15&lt;&gt;"",$J$15&lt;&gt;"",$H$15=$J$15),1,0))</f>
        <v>0</v>
      </c>
      <c r="AC11" s="389">
        <f>SUM(IF(AND($H$9&lt;&gt;"",$J$9&lt;&gt;"",$J$9&gt;$H$9),1,0)+IF(AND($H$13&lt;&gt;"",$J$13&lt;&gt;"",$H$13&gt;$J$13),1,0)+IF(AND($H$15&lt;&gt;"",$J$15&lt;&gt;"",$H$15&gt;$J$15),1,0))</f>
        <v>0</v>
      </c>
      <c r="AD11" s="389">
        <f>SUM($H$9,$J$13,$J$15)</f>
        <v>0</v>
      </c>
      <c r="AE11" s="391">
        <f>SUM($J$9,$H$13,$H$15)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x14ac:dyDescent="0.25">
      <c r="B12" s="38" t="str">
        <f>CONCATENATE(MID($C$2,7,1),4)</f>
        <v>F4</v>
      </c>
      <c r="C12" s="375">
        <v>44892</v>
      </c>
      <c r="D12" s="377">
        <v>0.33333333333333331</v>
      </c>
      <c r="E12" s="379" t="s">
        <v>193</v>
      </c>
      <c r="F12" s="169" t="s">
        <v>7</v>
      </c>
      <c r="G12" s="438" t="str">
        <f>Z16</f>
        <v>Bélgica</v>
      </c>
      <c r="H12" s="709">
        <f>VLOOKUP(B12,DB_PARTIDOS!$A$1:$I$65,5)</f>
        <v>3</v>
      </c>
      <c r="I12" s="438" t="str">
        <f>Z18</f>
        <v>Marruecos</v>
      </c>
      <c r="J12" s="709">
        <f>VLOOKUP($B$12,DB_PARTIDOS!$A$1:$I$65,7)</f>
        <v>0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457"/>
      <c r="O12" s="453"/>
      <c r="P12" s="453"/>
      <c r="Q12" s="453"/>
      <c r="R12" s="453"/>
      <c r="S12" s="453"/>
      <c r="T12" s="453"/>
      <c r="U12" s="579"/>
      <c r="V12" s="455"/>
      <c r="Z12" s="387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375"/>
      <c r="D13" s="377"/>
      <c r="E13" s="379"/>
      <c r="F13" s="213" t="s">
        <v>8</v>
      </c>
      <c r="G13" s="438"/>
      <c r="H13" s="218"/>
      <c r="I13" s="438"/>
      <c r="J13" s="218"/>
      <c r="K13" s="396"/>
      <c r="L13" s="396"/>
      <c r="M13" s="403"/>
      <c r="N13" s="457" t="str">
        <f>Z24</f>
        <v>Canadá</v>
      </c>
      <c r="O13" s="453">
        <f t="shared" ref="O13:V13" si="3">AA24</f>
        <v>0</v>
      </c>
      <c r="P13" s="453">
        <f t="shared" si="3"/>
        <v>0</v>
      </c>
      <c r="Q13" s="453">
        <f t="shared" si="3"/>
        <v>0</v>
      </c>
      <c r="R13" s="453">
        <f t="shared" si="3"/>
        <v>0</v>
      </c>
      <c r="S13" s="453">
        <f t="shared" si="3"/>
        <v>0</v>
      </c>
      <c r="T13" s="453">
        <f t="shared" si="3"/>
        <v>0</v>
      </c>
      <c r="U13" s="579">
        <f t="shared" si="3"/>
        <v>0</v>
      </c>
      <c r="V13" s="455">
        <f t="shared" si="3"/>
        <v>0</v>
      </c>
      <c r="Z13" s="386" t="str">
        <f>Z19</f>
        <v>Canadá</v>
      </c>
      <c r="AA13" s="389">
        <f>SUM(IF(AND($H$7&lt;&gt;"",$J$7&lt;&gt;"",$J$7&gt;$H$7),1,0)+IF(AND($H$11&lt;&gt;"",$J$11&lt;&gt;"",$J$11&gt;$H$11),1,0)+IF(AND($H$15&lt;&gt;"",$J$15&lt;&gt;"",$H$15&gt;$J$15),1,0))</f>
        <v>0</v>
      </c>
      <c r="AB13" s="389">
        <f>SUM(IF(AND($H$7&lt;&gt;"",$J$7&lt;&gt;"",$J$7=$H$7),1,0)+IF(AND($H$11&lt;&gt;"",$J$11&lt;&gt;"",$J$11=$H$11),1,0)+IF(AND($H$15&lt;&gt;"",$J$15&lt;&gt;"",$H$15=$J$15),1,0))</f>
        <v>0</v>
      </c>
      <c r="AC13" s="389">
        <f>SUM(IF(AND($H$7&lt;&gt;"",$J$7&lt;&gt;"",$J$7&lt;$H$7),1,0)+IF(AND($H$11&lt;&gt;"",$J$11&lt;&gt;"",$J$11&lt;$H$11),1,0)+IF(AND($H$15&lt;&gt;"",$J$15&lt;&gt;"",$H$15&lt;$J$15),1,0))</f>
        <v>0</v>
      </c>
      <c r="AD13" s="389">
        <f>SUM($J$7,$J$11,$H$15)</f>
        <v>0</v>
      </c>
      <c r="AE13" s="391">
        <f>SUM($H$7,$H$11,$J$15)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F5</v>
      </c>
      <c r="C14" s="375">
        <v>44896</v>
      </c>
      <c r="D14" s="377">
        <v>0.41666666666666669</v>
      </c>
      <c r="E14" s="379" t="s">
        <v>193</v>
      </c>
      <c r="F14" s="169" t="s">
        <v>7</v>
      </c>
      <c r="G14" s="438" t="str">
        <f>Z19</f>
        <v>Canadá</v>
      </c>
      <c r="H14" s="709">
        <f>VLOOKUP(B14,DB_PARTIDOS!$A$1:$I$65,5)</f>
        <v>1</v>
      </c>
      <c r="I14" s="438" t="str">
        <f>Z18</f>
        <v>Marruecos</v>
      </c>
      <c r="J14" s="709">
        <f>VLOOKUP($B$14,DB_PARTIDOS!$A$1:$I$65,7)</f>
        <v>0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458"/>
      <c r="O14" s="454"/>
      <c r="P14" s="454"/>
      <c r="Q14" s="454"/>
      <c r="R14" s="454"/>
      <c r="S14" s="454"/>
      <c r="T14" s="454"/>
      <c r="U14" s="580"/>
      <c r="V14" s="456"/>
      <c r="Z14" s="387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375"/>
      <c r="D15" s="377"/>
      <c r="E15" s="379"/>
      <c r="F15" s="213" t="s">
        <v>8</v>
      </c>
      <c r="G15" s="438"/>
      <c r="H15" s="218"/>
      <c r="I15" s="438"/>
      <c r="J15" s="218"/>
      <c r="K15" s="396"/>
      <c r="L15" s="396"/>
      <c r="M15" s="403"/>
      <c r="N15" s="201" t="s">
        <v>26</v>
      </c>
      <c r="O15" s="578" t="s">
        <v>22</v>
      </c>
      <c r="P15" s="578"/>
      <c r="Q15" s="578"/>
      <c r="R15" s="578"/>
      <c r="S15" s="578" t="s">
        <v>23</v>
      </c>
      <c r="T15" s="578"/>
      <c r="U15" s="578"/>
      <c r="V15" s="132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F6</v>
      </c>
      <c r="C16" s="375">
        <v>44896</v>
      </c>
      <c r="D16" s="377">
        <v>0.41666666666666669</v>
      </c>
      <c r="E16" s="381" t="s">
        <v>195</v>
      </c>
      <c r="F16" s="169" t="s">
        <v>7</v>
      </c>
      <c r="G16" s="438" t="str">
        <f>Z17</f>
        <v>Croacia</v>
      </c>
      <c r="H16" s="709">
        <f>VLOOKUP(B16,DB_PARTIDOS!$A$1:$I$65,5)</f>
        <v>1</v>
      </c>
      <c r="I16" s="438" t="str">
        <f>Z16</f>
        <v>Bélgica</v>
      </c>
      <c r="J16" s="709">
        <f>VLOOKUP($B$16,DB_PARTIDOS!$A$1:$I$65,7)</f>
        <v>2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Bélgica</v>
      </c>
      <c r="P16" s="711"/>
      <c r="Q16" s="711"/>
      <c r="R16" s="711"/>
      <c r="S16" s="712" t="str">
        <f>N7</f>
        <v>Bélgica</v>
      </c>
      <c r="T16" s="712"/>
      <c r="U16" s="712"/>
      <c r="V16" s="306">
        <f>IF(OR(O16=S16,O16=S17),AC28,0)+IF(O16=S16,2,0)</f>
        <v>4</v>
      </c>
      <c r="X16" s="38" t="str">
        <f>CONCATENATE(MID($C$2,7,1),N16)</f>
        <v>F1</v>
      </c>
      <c r="Z16" s="61" t="s">
        <v>151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376"/>
      <c r="D17" s="378"/>
      <c r="E17" s="449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Croacia</v>
      </c>
      <c r="P17" s="714"/>
      <c r="Q17" s="714"/>
      <c r="R17" s="714"/>
      <c r="S17" s="402" t="str">
        <f>N9</f>
        <v>Croacia</v>
      </c>
      <c r="T17" s="402"/>
      <c r="U17" s="402"/>
      <c r="V17" s="307">
        <f>IF(OR(O17=S17,O17=S16),AC28,0)+IF(O17=S17,2,0)</f>
        <v>4</v>
      </c>
      <c r="X17" s="38" t="str">
        <f>CONCATENATE(MID($C$2,7,1),N17)</f>
        <v>F2</v>
      </c>
      <c r="Z17" s="68" t="s">
        <v>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147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189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28"/>
      <c r="F21" s="28"/>
      <c r="G21" s="28"/>
      <c r="H21" s="28"/>
      <c r="I21" s="28"/>
      <c r="J21" s="572" t="s">
        <v>85</v>
      </c>
      <c r="K21" s="573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Bélgica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5" t="s">
        <v>57</v>
      </c>
      <c r="D22" s="163" t="s">
        <v>26</v>
      </c>
      <c r="E22" s="28"/>
      <c r="F22" s="28"/>
      <c r="G22" s="28"/>
      <c r="H22" s="28"/>
      <c r="I22" s="28"/>
      <c r="J22" s="574"/>
      <c r="K22" s="575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Croacia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Bélgica</v>
      </c>
      <c r="D23" s="137">
        <v>1</v>
      </c>
      <c r="E23" s="28"/>
      <c r="F23" s="28"/>
      <c r="G23" s="28"/>
      <c r="H23" s="28"/>
      <c r="I23" s="28"/>
      <c r="J23" s="576"/>
      <c r="K23" s="577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Marruecos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Croacia</v>
      </c>
      <c r="D24" s="106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Canadá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Marruecos</v>
      </c>
      <c r="D25" s="106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Canadá</v>
      </c>
      <c r="D26" s="10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105"/>
      <c r="F28" s="103"/>
      <c r="G28" s="104"/>
      <c r="H28" s="26"/>
      <c r="I28" s="105"/>
      <c r="J28" s="26"/>
      <c r="K28" s="105"/>
      <c r="L28" s="26"/>
      <c r="M28" s="105"/>
      <c r="N28" s="105"/>
      <c r="O28" s="105"/>
      <c r="P28" s="54"/>
      <c r="AA28" s="69">
        <v>2</v>
      </c>
      <c r="AB28" s="69">
        <v>2</v>
      </c>
      <c r="AC28" s="69">
        <v>2</v>
      </c>
    </row>
    <row r="29" spans="3:45" x14ac:dyDescent="0.25">
      <c r="D29" s="92"/>
      <c r="E29" s="105"/>
      <c r="F29" s="103"/>
      <c r="G29" s="104"/>
      <c r="H29" s="26"/>
      <c r="I29" s="105"/>
      <c r="J29" s="26"/>
      <c r="K29" s="105"/>
      <c r="L29" s="26"/>
      <c r="M29" s="105"/>
      <c r="N29" s="105"/>
      <c r="O29" s="105"/>
      <c r="P29" s="54"/>
    </row>
    <row r="30" spans="3:45" x14ac:dyDescent="0.25">
      <c r="D30" s="92"/>
      <c r="E30" s="105"/>
      <c r="F30" s="103"/>
      <c r="G30" s="104"/>
      <c r="H30" s="26"/>
      <c r="I30" s="105"/>
      <c r="J30" s="26"/>
      <c r="K30" s="105"/>
      <c r="L30" s="26"/>
      <c r="M30" s="105"/>
      <c r="N30" s="105"/>
      <c r="O30" s="105"/>
      <c r="P30" s="54"/>
    </row>
    <row r="31" spans="3:45" x14ac:dyDescent="0.25">
      <c r="D31" s="92"/>
      <c r="E31" s="105"/>
      <c r="F31" s="103"/>
      <c r="G31" s="104"/>
      <c r="H31" s="26"/>
      <c r="I31" s="105"/>
      <c r="J31" s="26"/>
      <c r="K31" s="105"/>
      <c r="L31" s="26"/>
      <c r="M31" s="105"/>
      <c r="N31" s="105"/>
      <c r="O31" s="105"/>
      <c r="P31" s="54"/>
    </row>
    <row r="32" spans="3:45" x14ac:dyDescent="0.25">
      <c r="D32" s="92"/>
      <c r="E32" s="105"/>
      <c r="F32" s="103"/>
      <c r="G32" s="104"/>
      <c r="H32" s="26"/>
      <c r="I32" s="105"/>
      <c r="J32" s="26"/>
      <c r="K32" s="105"/>
      <c r="L32" s="26"/>
      <c r="M32" s="105"/>
      <c r="N32" s="105"/>
      <c r="O32" s="105"/>
      <c r="P32" s="54"/>
    </row>
    <row r="33" spans="4:16" x14ac:dyDescent="0.25">
      <c r="D33" s="92"/>
      <c r="E33" s="105"/>
      <c r="F33" s="103"/>
      <c r="G33" s="104"/>
      <c r="H33" s="26"/>
      <c r="I33" s="105"/>
      <c r="J33" s="26"/>
      <c r="K33" s="105"/>
      <c r="L33" s="26"/>
      <c r="M33" s="105"/>
      <c r="N33" s="105"/>
      <c r="O33" s="105"/>
      <c r="P33" s="54"/>
    </row>
    <row r="34" spans="4:16" x14ac:dyDescent="0.25">
      <c r="D34" s="9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54"/>
    </row>
    <row r="35" spans="4:16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4:16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4:16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4:16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4:16" x14ac:dyDescent="0.25">
      <c r="I39" s="92"/>
      <c r="J39" s="92"/>
      <c r="K39" s="92"/>
      <c r="L39" s="92"/>
      <c r="M39" s="92"/>
      <c r="N39" s="92"/>
      <c r="O39" s="92"/>
    </row>
    <row r="40" spans="4:16" x14ac:dyDescent="0.25">
      <c r="I40" s="92"/>
      <c r="J40" s="92"/>
      <c r="K40" s="92"/>
      <c r="L40" s="92"/>
      <c r="M40" s="92"/>
      <c r="N40" s="92"/>
      <c r="O40" s="92"/>
    </row>
    <row r="41" spans="4:16" x14ac:dyDescent="0.25">
      <c r="I41" s="92"/>
      <c r="J41" s="92"/>
      <c r="K41" s="92"/>
      <c r="L41" s="92"/>
      <c r="M41" s="92"/>
      <c r="N41" s="92"/>
      <c r="O41" s="92"/>
    </row>
    <row r="42" spans="4:16" x14ac:dyDescent="0.25">
      <c r="I42" s="92"/>
      <c r="J42" s="92"/>
      <c r="K42" s="92"/>
      <c r="L42" s="92"/>
      <c r="M42" s="92"/>
      <c r="N42" s="92"/>
      <c r="O42" s="92"/>
    </row>
    <row r="43" spans="4:16" x14ac:dyDescent="0.25">
      <c r="I43" s="92"/>
      <c r="J43" s="92"/>
      <c r="K43" s="92"/>
      <c r="L43" s="92"/>
      <c r="M43" s="92"/>
      <c r="N43" s="92"/>
      <c r="O43" s="92"/>
    </row>
    <row r="44" spans="4:16" x14ac:dyDescent="0.25">
      <c r="I44" s="92"/>
      <c r="J44" s="92"/>
      <c r="K44" s="92"/>
      <c r="L44" s="92"/>
      <c r="M44" s="92"/>
      <c r="N44" s="92"/>
      <c r="O44" s="92"/>
    </row>
    <row r="45" spans="4:16" x14ac:dyDescent="0.25">
      <c r="I45" s="92"/>
      <c r="J45" s="92"/>
      <c r="K45" s="92"/>
      <c r="L45" s="92"/>
      <c r="M45" s="92"/>
      <c r="N45" s="92"/>
      <c r="O45" s="92"/>
    </row>
    <row r="46" spans="4:16" x14ac:dyDescent="0.25">
      <c r="I46" s="92"/>
      <c r="J46" s="92"/>
      <c r="K46" s="92"/>
      <c r="L46" s="92"/>
      <c r="M46" s="92"/>
      <c r="N46" s="92"/>
      <c r="O46" s="92"/>
    </row>
    <row r="47" spans="4:16" x14ac:dyDescent="0.25">
      <c r="I47" s="92"/>
      <c r="J47" s="92"/>
      <c r="K47" s="92"/>
      <c r="L47" s="92"/>
      <c r="M47" s="92"/>
      <c r="N47" s="92"/>
      <c r="O47" s="92"/>
    </row>
    <row r="48" spans="4:16" x14ac:dyDescent="0.25">
      <c r="I48" s="92"/>
      <c r="J48" s="92"/>
      <c r="K48" s="92"/>
      <c r="L48" s="92"/>
      <c r="M48" s="92"/>
      <c r="N48" s="92"/>
      <c r="O48" s="92"/>
    </row>
  </sheetData>
  <sheetProtection algorithmName="SHA-512" hashValue="6YcEVlDxbQizwREHcojaHgxZerGVS4HjbroXvg5woBlJNmtfpBzW//B1zNKkl1QGTaMf1n2Icgg5VzBMJnnS2A==" saltValue="6OpJZ8F0Fl4FyFbHlnNl9A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conditionalFormatting sqref="I28:I33">
    <cfRule type="cellIs" dxfId="5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51"/>
  <sheetViews>
    <sheetView showGridLines="0" zoomScale="80" zoomScaleNormal="80" workbookViewId="0">
      <selection activeCell="D23" sqref="D23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08" t="s">
        <v>86</v>
      </c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10"/>
    </row>
    <row r="3" spans="2:46" ht="15.75" customHeight="1" thickBot="1" x14ac:dyDescent="0.3">
      <c r="C3" s="611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612"/>
      <c r="V3" s="613"/>
    </row>
    <row r="4" spans="2:46" x14ac:dyDescent="0.25">
      <c r="C4" s="614" t="s">
        <v>28</v>
      </c>
      <c r="D4" s="615"/>
      <c r="E4" s="615"/>
      <c r="F4" s="615"/>
      <c r="G4" s="615"/>
      <c r="H4" s="615"/>
      <c r="I4" s="615"/>
      <c r="J4" s="616"/>
      <c r="K4" s="617" t="s">
        <v>24</v>
      </c>
      <c r="L4" s="618"/>
      <c r="M4" s="619"/>
      <c r="N4" s="620" t="s">
        <v>21</v>
      </c>
      <c r="O4" s="618"/>
      <c r="P4" s="618"/>
      <c r="Q4" s="618"/>
      <c r="R4" s="618"/>
      <c r="S4" s="618"/>
      <c r="T4" s="618"/>
      <c r="U4" s="618"/>
      <c r="V4" s="621"/>
    </row>
    <row r="5" spans="2:46" ht="15.75" thickBot="1" x14ac:dyDescent="0.3">
      <c r="C5" s="172" t="s">
        <v>0</v>
      </c>
      <c r="D5" s="304" t="s">
        <v>1</v>
      </c>
      <c r="E5" s="304" t="s">
        <v>196</v>
      </c>
      <c r="F5" s="304" t="s">
        <v>2</v>
      </c>
      <c r="G5" s="625" t="s">
        <v>3</v>
      </c>
      <c r="H5" s="625"/>
      <c r="I5" s="625"/>
      <c r="J5" s="626"/>
      <c r="K5" s="310" t="s">
        <v>9</v>
      </c>
      <c r="L5" s="182" t="s">
        <v>10</v>
      </c>
      <c r="M5" s="183" t="s">
        <v>11</v>
      </c>
      <c r="N5" s="622"/>
      <c r="O5" s="623"/>
      <c r="P5" s="623"/>
      <c r="Q5" s="623"/>
      <c r="R5" s="623"/>
      <c r="S5" s="623"/>
      <c r="T5" s="623"/>
      <c r="U5" s="623"/>
      <c r="V5" s="624"/>
    </row>
    <row r="6" spans="2:46" ht="15.75" thickBot="1" x14ac:dyDescent="0.3">
      <c r="B6" s="38" t="str">
        <f>CONCATENATE(MID($C$2,7,1),1)</f>
        <v>G1</v>
      </c>
      <c r="C6" s="422">
        <v>44889</v>
      </c>
      <c r="D6" s="423">
        <v>0.58333333333333337</v>
      </c>
      <c r="E6" s="424" t="s">
        <v>198</v>
      </c>
      <c r="F6" s="168" t="s">
        <v>7</v>
      </c>
      <c r="G6" s="440" t="str">
        <f>Z16</f>
        <v>Brasil</v>
      </c>
      <c r="H6" s="708">
        <f>VLOOKUP($B$6,DB_PARTIDOS!$A$1:$I$65,5)</f>
        <v>4</v>
      </c>
      <c r="I6" s="440" t="str">
        <f>Z19</f>
        <v>Serbia</v>
      </c>
      <c r="J6" s="708">
        <f>VLOOKUP($B$6,DB_PARTIDOS!$A$1:$I$65,7)</f>
        <v>1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198" t="s">
        <v>12</v>
      </c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 t="s">
        <v>18</v>
      </c>
      <c r="U6" s="117" t="s">
        <v>19</v>
      </c>
      <c r="V6" s="11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375"/>
      <c r="D7" s="377"/>
      <c r="E7" s="379"/>
      <c r="F7" s="213" t="s">
        <v>8</v>
      </c>
      <c r="G7" s="438"/>
      <c r="H7" s="218"/>
      <c r="I7" s="438"/>
      <c r="J7" s="218"/>
      <c r="K7" s="396"/>
      <c r="L7" s="396"/>
      <c r="M7" s="403"/>
      <c r="N7" s="457" t="str">
        <f>Z21</f>
        <v>Brasil</v>
      </c>
      <c r="O7" s="453">
        <f t="shared" ref="O7:U7" si="0">AA21</f>
        <v>0</v>
      </c>
      <c r="P7" s="453">
        <f t="shared" si="0"/>
        <v>0</v>
      </c>
      <c r="Q7" s="453">
        <f t="shared" si="0"/>
        <v>0</v>
      </c>
      <c r="R7" s="453">
        <f t="shared" si="0"/>
        <v>0</v>
      </c>
      <c r="S7" s="453">
        <f t="shared" si="0"/>
        <v>0</v>
      </c>
      <c r="T7" s="453">
        <f t="shared" si="0"/>
        <v>0</v>
      </c>
      <c r="U7" s="579">
        <f t="shared" si="0"/>
        <v>0</v>
      </c>
      <c r="V7" s="455">
        <f>AH21</f>
        <v>0</v>
      </c>
      <c r="Z7" s="385" t="str">
        <f>Z16</f>
        <v>Brasil</v>
      </c>
      <c r="AA7" s="393">
        <f>SUM(IF(AND($H$7&lt;&gt;"",$J$7&lt;&gt;"",$H$7&gt;$J$7),1,0)+IF(AND($H$13&lt;&gt;"",$J$13&lt;&gt;"",$H$13&gt;$J$13),1,0)+IF(AND($H$17&lt;&gt;"",$J$17&lt;&gt;"",$J$17&gt;$H$17),1,0))</f>
        <v>0</v>
      </c>
      <c r="AB7" s="393">
        <f>SUM(IF(AND($H$7&lt;&gt;"",$J$7&lt;&gt;"",$H$7=$J$7),1,0)+IF(AND($H$13&lt;&gt;"",$J$13&lt;&gt;"",$H$13=$J$13),1,0)+IF(AND($H$17&lt;&gt;"",$J$17&lt;&gt;"",$J$17=$H$17),1,0))</f>
        <v>0</v>
      </c>
      <c r="AC7" s="393">
        <f>SUM(IF(AND($H$7&lt;&gt;"",$J$7&lt;&gt;"",$H$7&lt;$J$7),1,0)+IF(AND($H$13&lt;&gt;"",$J$13&lt;&gt;"",$H$13&lt;$J$13),1,0)+IF(AND($H$17&lt;&gt;"",$J$17&lt;&gt;"",$J$17&lt;$H$17),1,0))</f>
        <v>0</v>
      </c>
      <c r="AD7" s="393">
        <f>SUM($H$7,$H$13,$J$17)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G2</v>
      </c>
      <c r="C8" s="375">
        <v>44889</v>
      </c>
      <c r="D8" s="377">
        <v>0.20833333333333334</v>
      </c>
      <c r="E8" s="381" t="s">
        <v>199</v>
      </c>
      <c r="F8" s="169" t="s">
        <v>7</v>
      </c>
      <c r="G8" s="438" t="str">
        <f>Z18</f>
        <v>Suiza</v>
      </c>
      <c r="H8" s="709">
        <f>VLOOKUP(B8,DB_PARTIDOS!$A$1:$I$65,5)</f>
        <v>1</v>
      </c>
      <c r="I8" s="438" t="str">
        <f>Z17</f>
        <v>Camerún</v>
      </c>
      <c r="J8" s="709">
        <f>VLOOKUP($B$8,DB_PARTIDOS!$A$1:$I$65,7)</f>
        <v>1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457"/>
      <c r="O8" s="453"/>
      <c r="P8" s="453"/>
      <c r="Q8" s="453"/>
      <c r="R8" s="453"/>
      <c r="S8" s="453"/>
      <c r="T8" s="453"/>
      <c r="U8" s="579"/>
      <c r="V8" s="455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375"/>
      <c r="D9" s="377"/>
      <c r="E9" s="381"/>
      <c r="F9" s="213" t="s">
        <v>8</v>
      </c>
      <c r="G9" s="438"/>
      <c r="H9" s="218"/>
      <c r="I9" s="438"/>
      <c r="J9" s="218"/>
      <c r="K9" s="396"/>
      <c r="L9" s="396"/>
      <c r="M9" s="403"/>
      <c r="N9" s="457" t="str">
        <f>Z22</f>
        <v>Camerún</v>
      </c>
      <c r="O9" s="453">
        <f t="shared" ref="O9:V9" si="1">AA22</f>
        <v>0</v>
      </c>
      <c r="P9" s="453">
        <f t="shared" si="1"/>
        <v>0</v>
      </c>
      <c r="Q9" s="453">
        <f t="shared" si="1"/>
        <v>0</v>
      </c>
      <c r="R9" s="453">
        <f t="shared" si="1"/>
        <v>0</v>
      </c>
      <c r="S9" s="453">
        <f t="shared" si="1"/>
        <v>0</v>
      </c>
      <c r="T9" s="453">
        <f t="shared" si="1"/>
        <v>0</v>
      </c>
      <c r="U9" s="579">
        <f t="shared" si="1"/>
        <v>0</v>
      </c>
      <c r="V9" s="455">
        <f t="shared" si="1"/>
        <v>0</v>
      </c>
      <c r="Z9" s="386" t="str">
        <f>Z17</f>
        <v>Camerún</v>
      </c>
      <c r="AA9" s="389">
        <f>SUM(IF(AND($H$9&lt;&gt;"",$J$9&lt;&gt;"",$H$9&lt;$J$9),1,0)+IF(AND($H$11&lt;&gt;"",$J$11&lt;&gt;"",$J$11&lt;$H$11),1,0)+IF(AND($H$17&lt;&gt;"",$J$17&lt;&gt;"",$J$17&lt;$H$17),1,0))</f>
        <v>0</v>
      </c>
      <c r="AB9" s="389">
        <f>SUM(IF(AND($H$9&lt;&gt;"",$J$9&lt;&gt;"",$H$9=$J$9),1,0)+IF(AND($H$11&lt;&gt;"",$J$11&lt;&gt;"",$J$11=$H$11),1,0)+IF(AND($H$17&lt;&gt;"",$J$17&lt;&gt;"",$J$17=$H$17),1,0))</f>
        <v>0</v>
      </c>
      <c r="AC9" s="389">
        <f>SUM(IF(AND($H$9&lt;&gt;"",$J$9&lt;&gt;"",$H$9&gt;$J$9),1,0)+IF(AND($H$11&lt;&gt;"",$J$11&lt;&gt;"",$J$11&gt;$H$11),1,0)+IF(AND($H$17&lt;&gt;"",$J$17&lt;&gt;"",$J$17&gt;H$17),1,0))</f>
        <v>0</v>
      </c>
      <c r="AD9" s="389">
        <f>SUM($J$9,$H$11,$H$17)</f>
        <v>0</v>
      </c>
      <c r="AE9" s="391">
        <f>SUM($H$9,$J$11,$J$17)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G3</v>
      </c>
      <c r="C10" s="375">
        <v>44893</v>
      </c>
      <c r="D10" s="377">
        <v>0.20833333333333334</v>
      </c>
      <c r="E10" s="381" t="s">
        <v>199</v>
      </c>
      <c r="F10" s="169" t="s">
        <v>7</v>
      </c>
      <c r="G10" s="438" t="str">
        <f>Z17</f>
        <v>Camerún</v>
      </c>
      <c r="H10" s="709">
        <f>VLOOKUP(B10,DB_PARTIDOS!$A$1:$I$65,5)</f>
        <v>1</v>
      </c>
      <c r="I10" s="438" t="str">
        <f>Z19</f>
        <v>Serbia</v>
      </c>
      <c r="J10" s="709">
        <f>VLOOKUP($B$10,DB_PARTIDOS!$A$1:$I$65,7)</f>
        <v>1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457"/>
      <c r="O10" s="453"/>
      <c r="P10" s="453"/>
      <c r="Q10" s="453"/>
      <c r="R10" s="453"/>
      <c r="S10" s="453"/>
      <c r="T10" s="453"/>
      <c r="U10" s="579"/>
      <c r="V10" s="455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375"/>
      <c r="D11" s="377"/>
      <c r="E11" s="381"/>
      <c r="F11" s="213" t="s">
        <v>8</v>
      </c>
      <c r="G11" s="438"/>
      <c r="H11" s="218"/>
      <c r="I11" s="438"/>
      <c r="J11" s="218"/>
      <c r="K11" s="396"/>
      <c r="L11" s="396"/>
      <c r="M11" s="403"/>
      <c r="N11" s="457" t="str">
        <f>Z23</f>
        <v>Suiza</v>
      </c>
      <c r="O11" s="453">
        <f t="shared" ref="O11:V11" si="2">AA23</f>
        <v>0</v>
      </c>
      <c r="P11" s="453">
        <f t="shared" si="2"/>
        <v>0</v>
      </c>
      <c r="Q11" s="453">
        <f t="shared" si="2"/>
        <v>0</v>
      </c>
      <c r="R11" s="453">
        <f t="shared" si="2"/>
        <v>0</v>
      </c>
      <c r="S11" s="453">
        <f t="shared" si="2"/>
        <v>0</v>
      </c>
      <c r="T11" s="453">
        <f t="shared" si="2"/>
        <v>0</v>
      </c>
      <c r="U11" s="579">
        <f t="shared" si="2"/>
        <v>0</v>
      </c>
      <c r="V11" s="455">
        <f t="shared" si="2"/>
        <v>0</v>
      </c>
      <c r="Z11" s="386" t="str">
        <f>Z18</f>
        <v>Suiza</v>
      </c>
      <c r="AA11" s="389">
        <f>SUM(IF(AND($H$9&lt;&gt;"",$J$9&lt;&gt;"",$J$9&lt;$H$9),1,0)+IF(AND($H$13&lt;&gt;"",$J$13&lt;&gt;"",$H$13&lt;J$13),1,0)+IF(AND($H$15&lt;&gt;"",$J$15&lt;&gt;"",$H$15&lt;$J$15),1,0))</f>
        <v>0</v>
      </c>
      <c r="AB11" s="389">
        <f>SUM(IF(AND($H$9&lt;&gt;"",$J$9&lt;&gt;"",$J$9=$H$9),1,0)+IF(AND($H$13&lt;&gt;"",$J$13&lt;&gt;"",$H$13=$J$13),1,0)+IF(AND($H$15&lt;&gt;"",$J$15&lt;&gt;"",$H$15=$J$15),1,0))</f>
        <v>0</v>
      </c>
      <c r="AC11" s="389">
        <f>SUM(IF(AND($H$9&lt;&gt;"",$J$9&lt;&gt;"",$J$9&gt;$H$9),1,0)+IF(AND($H$13&lt;&gt;"",$J$13&lt;&gt;"",$H$13&gt;$J$13),1,0)+IF(AND($H$15&lt;&gt;"",$J$15&lt;&gt;"",$H$15&gt;$J$15),1,0))</f>
        <v>0</v>
      </c>
      <c r="AD11" s="389">
        <f>SUM($H$9,$J$13,$J$15)</f>
        <v>0</v>
      </c>
      <c r="AE11" s="391">
        <f>SUM($J$9,$H$13,$H$15)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x14ac:dyDescent="0.25">
      <c r="B12" s="38" t="str">
        <f>CONCATENATE(MID($C$2,7,1),4)</f>
        <v>G4</v>
      </c>
      <c r="C12" s="375">
        <v>44893</v>
      </c>
      <c r="D12" s="377">
        <v>0.45833333333333331</v>
      </c>
      <c r="E12" s="379">
        <v>974</v>
      </c>
      <c r="F12" s="169" t="s">
        <v>7</v>
      </c>
      <c r="G12" s="438" t="str">
        <f>Z16</f>
        <v>Brasil</v>
      </c>
      <c r="H12" s="709">
        <f>VLOOKUP(B12,DB_PARTIDOS!$A$1:$I$65,5)</f>
        <v>3</v>
      </c>
      <c r="I12" s="438" t="str">
        <f>Z18</f>
        <v>Suiza</v>
      </c>
      <c r="J12" s="709">
        <f>VLOOKUP($B$12,DB_PARTIDOS!$A$1:$I$65,7)</f>
        <v>0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457"/>
      <c r="O12" s="453"/>
      <c r="P12" s="453"/>
      <c r="Q12" s="453"/>
      <c r="R12" s="453"/>
      <c r="S12" s="453"/>
      <c r="T12" s="453"/>
      <c r="U12" s="579"/>
      <c r="V12" s="455"/>
      <c r="Z12" s="386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375"/>
      <c r="D13" s="377"/>
      <c r="E13" s="379"/>
      <c r="F13" s="213" t="s">
        <v>8</v>
      </c>
      <c r="G13" s="438"/>
      <c r="H13" s="218"/>
      <c r="I13" s="438"/>
      <c r="J13" s="218"/>
      <c r="K13" s="396"/>
      <c r="L13" s="396"/>
      <c r="M13" s="403"/>
      <c r="N13" s="457" t="str">
        <f>Z24</f>
        <v>Serbia</v>
      </c>
      <c r="O13" s="453">
        <f t="shared" ref="O13:V13" si="3">AA24</f>
        <v>0</v>
      </c>
      <c r="P13" s="453">
        <f t="shared" si="3"/>
        <v>0</v>
      </c>
      <c r="Q13" s="453">
        <f t="shared" si="3"/>
        <v>0</v>
      </c>
      <c r="R13" s="453">
        <f t="shared" si="3"/>
        <v>0</v>
      </c>
      <c r="S13" s="453">
        <f t="shared" si="3"/>
        <v>0</v>
      </c>
      <c r="T13" s="453">
        <f t="shared" si="3"/>
        <v>0</v>
      </c>
      <c r="U13" s="579">
        <f t="shared" si="3"/>
        <v>0</v>
      </c>
      <c r="V13" s="455">
        <f t="shared" si="3"/>
        <v>0</v>
      </c>
      <c r="Z13" s="386" t="str">
        <f>Z19</f>
        <v>Serbia</v>
      </c>
      <c r="AA13" s="389">
        <f>SUM(IF(AND($H$7&lt;&gt;"",$J$7&lt;&gt;"",$J$7&gt;$H$7),1,0)+IF(AND($H$11&lt;&gt;"",$J$11&lt;&gt;"",$J$11&gt;$H$11),1,0)+IF(AND($H$15&lt;&gt;"",$J$15&lt;&gt;"",$H$15&gt;$J$15),1,0))</f>
        <v>0</v>
      </c>
      <c r="AB13" s="389">
        <f>SUM(IF(AND($H$7&lt;&gt;"",$J$7&lt;&gt;"",$J$7=$H$7),1,0)+IF(AND($H$11&lt;&gt;"",$J$11&lt;&gt;"",$J$11=$H$11),1,0)+IF(AND($H$15&lt;&gt;"",$J$15&lt;&gt;"",$H$15=$J$15),1,0))</f>
        <v>0</v>
      </c>
      <c r="AC13" s="389">
        <f>SUM(IF(AND($H$7&lt;&gt;"",$J$7&lt;&gt;"",$J$7&lt;$H$7),1,0)+IF(AND($H$11&lt;&gt;"",$J$11&lt;&gt;"",$J$11&lt;$H$11),1,0)+IF(AND($H$15&lt;&gt;"",$J$15&lt;&gt;"",$H$15&lt;$J$15),1,0))</f>
        <v>0</v>
      </c>
      <c r="AD13" s="389">
        <f>SUM($J$7,$J$11,$H$15)</f>
        <v>0</v>
      </c>
      <c r="AE13" s="391">
        <f>SUM($H$7,$H$11,$J$15)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G5</v>
      </c>
      <c r="C14" s="375">
        <v>44897</v>
      </c>
      <c r="D14" s="377">
        <v>0.58333333333333337</v>
      </c>
      <c r="E14" s="379">
        <v>974</v>
      </c>
      <c r="F14" s="169" t="s">
        <v>7</v>
      </c>
      <c r="G14" s="438" t="str">
        <f>Z19</f>
        <v>Serbia</v>
      </c>
      <c r="H14" s="709">
        <f>VLOOKUP(B14,DB_PARTIDOS!$A$1:$I$65,5)</f>
        <v>2</v>
      </c>
      <c r="I14" s="438" t="str">
        <f>Z18</f>
        <v>Suiza</v>
      </c>
      <c r="J14" s="709">
        <f>VLOOKUP($B$14,DB_PARTIDOS!$A$1:$I$65,7)</f>
        <v>2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458"/>
      <c r="O14" s="454"/>
      <c r="P14" s="454"/>
      <c r="Q14" s="454"/>
      <c r="R14" s="454"/>
      <c r="S14" s="454"/>
      <c r="T14" s="454"/>
      <c r="U14" s="580"/>
      <c r="V14" s="456"/>
      <c r="Z14" s="387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375"/>
      <c r="D15" s="377"/>
      <c r="E15" s="379"/>
      <c r="F15" s="213" t="s">
        <v>8</v>
      </c>
      <c r="G15" s="438"/>
      <c r="H15" s="218"/>
      <c r="I15" s="438"/>
      <c r="J15" s="218"/>
      <c r="K15" s="396"/>
      <c r="L15" s="396"/>
      <c r="M15" s="403"/>
      <c r="N15" s="199" t="s">
        <v>26</v>
      </c>
      <c r="O15" s="607" t="s">
        <v>22</v>
      </c>
      <c r="P15" s="607"/>
      <c r="Q15" s="607"/>
      <c r="R15" s="607"/>
      <c r="S15" s="607" t="s">
        <v>23</v>
      </c>
      <c r="T15" s="607"/>
      <c r="U15" s="607"/>
      <c r="V15" s="131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G6</v>
      </c>
      <c r="C16" s="375">
        <v>44897</v>
      </c>
      <c r="D16" s="377">
        <v>0.58333333333333337</v>
      </c>
      <c r="E16" s="381" t="s">
        <v>198</v>
      </c>
      <c r="F16" s="169" t="s">
        <v>7</v>
      </c>
      <c r="G16" s="438" t="str">
        <f>Z17</f>
        <v>Camerún</v>
      </c>
      <c r="H16" s="709">
        <f>VLOOKUP(B16,DB_PARTIDOS!$A$1:$I$65,5)</f>
        <v>1</v>
      </c>
      <c r="I16" s="438" t="str">
        <f>Z16</f>
        <v>Brasil</v>
      </c>
      <c r="J16" s="709">
        <f>VLOOKUP($B$16,DB_PARTIDOS!$A$1:$I$65,7)</f>
        <v>3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Brasil</v>
      </c>
      <c r="P16" s="711"/>
      <c r="Q16" s="711"/>
      <c r="R16" s="711"/>
      <c r="S16" s="712" t="str">
        <f>N7</f>
        <v>Brasil</v>
      </c>
      <c r="T16" s="712"/>
      <c r="U16" s="712"/>
      <c r="V16" s="306">
        <f>IF(OR(O16=S16,O16=S17),AC28,0)+IF(O16=S16,2,0)</f>
        <v>4</v>
      </c>
      <c r="X16" s="38" t="str">
        <f>CONCATENATE(MID($C$2,7,1),N16)</f>
        <v>G1</v>
      </c>
      <c r="Z16" s="61" t="s">
        <v>4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376"/>
      <c r="D17" s="378"/>
      <c r="E17" s="449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Serbia</v>
      </c>
      <c r="P17" s="714"/>
      <c r="Q17" s="714"/>
      <c r="R17" s="714"/>
      <c r="S17" s="402" t="str">
        <f>N9</f>
        <v>Camerún</v>
      </c>
      <c r="T17" s="402"/>
      <c r="U17" s="402"/>
      <c r="V17" s="307">
        <f>IF(OR(O17=S17,O17=S16),AC28,0)+IF(O17=S17,2,0)</f>
        <v>0</v>
      </c>
      <c r="X17" s="38" t="str">
        <f>CONCATENATE(MID($C$2,7,1),N17)</f>
        <v>G2</v>
      </c>
      <c r="Z17" s="68" t="s">
        <v>190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150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28"/>
      <c r="F21" s="28"/>
      <c r="G21" s="28"/>
      <c r="H21" s="28"/>
      <c r="I21" s="28"/>
      <c r="J21" s="601" t="s">
        <v>87</v>
      </c>
      <c r="K21" s="602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Brasil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4" t="s">
        <v>57</v>
      </c>
      <c r="D22" s="162" t="s">
        <v>26</v>
      </c>
      <c r="E22" s="28"/>
      <c r="F22" s="28"/>
      <c r="G22" s="28"/>
      <c r="H22" s="28"/>
      <c r="I22" s="28"/>
      <c r="J22" s="603"/>
      <c r="K22" s="604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Camerún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Brasil</v>
      </c>
      <c r="D23" s="109">
        <v>1</v>
      </c>
      <c r="E23" s="28"/>
      <c r="F23" s="28"/>
      <c r="G23" s="28"/>
      <c r="H23" s="28"/>
      <c r="I23" s="28"/>
      <c r="J23" s="605"/>
      <c r="K23" s="606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Suiza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Camerún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Serbia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Suiza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Serbia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99"/>
      <c r="F27" s="100"/>
      <c r="G27" s="101"/>
      <c r="H27" s="32"/>
      <c r="I27" s="102"/>
      <c r="J27" s="32"/>
      <c r="K27" s="102"/>
      <c r="L27" s="32"/>
      <c r="M27" s="102"/>
      <c r="N27" s="102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92"/>
      <c r="P28" s="92"/>
      <c r="Q28" s="92"/>
      <c r="R28" s="92"/>
      <c r="S28" s="92"/>
      <c r="T28" s="92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92"/>
      <c r="P29" s="92"/>
      <c r="Q29" s="92"/>
      <c r="R29" s="92"/>
      <c r="S29" s="92"/>
      <c r="T29" s="92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92"/>
      <c r="P30" s="92"/>
      <c r="Q30" s="92"/>
      <c r="R30" s="92"/>
      <c r="S30" s="92"/>
      <c r="T30" s="92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92"/>
      <c r="P31" s="92"/>
      <c r="Q31" s="92"/>
      <c r="R31" s="92"/>
      <c r="S31" s="92"/>
      <c r="T31" s="92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92"/>
      <c r="P32" s="92"/>
      <c r="Q32" s="92"/>
      <c r="R32" s="92"/>
      <c r="S32" s="92"/>
      <c r="T32" s="92"/>
    </row>
    <row r="33" spans="5:20" x14ac:dyDescent="0.25">
      <c r="E33" s="54"/>
      <c r="F33" s="105"/>
      <c r="G33" s="105"/>
      <c r="H33" s="105"/>
      <c r="I33" s="105"/>
      <c r="J33" s="105"/>
      <c r="K33" s="105"/>
      <c r="L33" s="105"/>
      <c r="M33" s="105"/>
      <c r="N33" s="105"/>
      <c r="O33" s="92"/>
      <c r="P33" s="92"/>
      <c r="Q33" s="92"/>
      <c r="R33" s="92"/>
      <c r="S33" s="92"/>
      <c r="T33" s="92"/>
    </row>
    <row r="34" spans="5:20" x14ac:dyDescent="0.25"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5:20" x14ac:dyDescent="0.25"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5:20" x14ac:dyDescent="0.25"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5:20" x14ac:dyDescent="0.25"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5:20" x14ac:dyDescent="0.25"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</row>
    <row r="39" spans="5:20" x14ac:dyDescent="0.25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</row>
    <row r="40" spans="5:20" x14ac:dyDescent="0.25"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</row>
    <row r="41" spans="5:20" x14ac:dyDescent="0.25"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5:20" x14ac:dyDescent="0.25"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5:20" x14ac:dyDescent="0.25"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5:20" x14ac:dyDescent="0.25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5:20" x14ac:dyDescent="0.25"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5:20" x14ac:dyDescent="0.25"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</row>
    <row r="47" spans="5:20" x14ac:dyDescent="0.25"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</row>
    <row r="48" spans="5:20" x14ac:dyDescent="0.25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</row>
    <row r="49" spans="6:19" x14ac:dyDescent="0.25"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</row>
    <row r="50" spans="6:19" x14ac:dyDescent="0.25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</row>
    <row r="51" spans="6:19" x14ac:dyDescent="0.25"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</sheetData>
  <sheetProtection algorithmName="SHA-512" hashValue="6+k+F+IeUJcWemv5v3YDvug+pX6erY9IqNYyEiJtMW0hZzUhI9uBKkTVzAOdRqb+pWgrzr2xsdUg86Oi3qO/KQ==" saltValue="Syu1K4VrSmqR66KJiSJynw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conditionalFormatting sqref="I27:I32">
    <cfRule type="cellIs" dxfId="4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8"/>
  <sheetViews>
    <sheetView showGridLines="0" zoomScale="80" zoomScaleNormal="80" workbookViewId="0">
      <selection activeCell="J7" sqref="J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26" width="11.7109375" style="38" hidden="1" customWidth="1"/>
    <col min="27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34" t="s">
        <v>92</v>
      </c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6"/>
    </row>
    <row r="3" spans="2:46" ht="15.75" customHeight="1" thickBot="1" x14ac:dyDescent="0.3">
      <c r="C3" s="637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9"/>
    </row>
    <row r="4" spans="2:46" x14ac:dyDescent="0.25">
      <c r="C4" s="640" t="s">
        <v>28</v>
      </c>
      <c r="D4" s="641"/>
      <c r="E4" s="641"/>
      <c r="F4" s="641"/>
      <c r="G4" s="641"/>
      <c r="H4" s="641"/>
      <c r="I4" s="641"/>
      <c r="J4" s="642"/>
      <c r="K4" s="643" t="s">
        <v>24</v>
      </c>
      <c r="L4" s="644"/>
      <c r="M4" s="645"/>
      <c r="N4" s="646" t="s">
        <v>21</v>
      </c>
      <c r="O4" s="644"/>
      <c r="P4" s="644"/>
      <c r="Q4" s="644"/>
      <c r="R4" s="644"/>
      <c r="S4" s="644"/>
      <c r="T4" s="644"/>
      <c r="U4" s="644"/>
      <c r="V4" s="647"/>
    </row>
    <row r="5" spans="2:46" ht="15.75" thickBot="1" x14ac:dyDescent="0.3">
      <c r="C5" s="171" t="s">
        <v>0</v>
      </c>
      <c r="D5" s="305" t="s">
        <v>1</v>
      </c>
      <c r="E5" s="305" t="s">
        <v>196</v>
      </c>
      <c r="F5" s="305" t="s">
        <v>2</v>
      </c>
      <c r="G5" s="651" t="s">
        <v>3</v>
      </c>
      <c r="H5" s="651"/>
      <c r="I5" s="651"/>
      <c r="J5" s="652"/>
      <c r="K5" s="309" t="s">
        <v>9</v>
      </c>
      <c r="L5" s="180" t="s">
        <v>10</v>
      </c>
      <c r="M5" s="181" t="s">
        <v>11</v>
      </c>
      <c r="N5" s="648"/>
      <c r="O5" s="649"/>
      <c r="P5" s="649"/>
      <c r="Q5" s="649"/>
      <c r="R5" s="649"/>
      <c r="S5" s="649"/>
      <c r="T5" s="649"/>
      <c r="U5" s="649"/>
      <c r="V5" s="650"/>
    </row>
    <row r="6" spans="2:46" ht="15.75" customHeight="1" thickBot="1" x14ac:dyDescent="0.3">
      <c r="B6" s="38" t="str">
        <f>CONCATENATE(MID($C$2,7,1),1)</f>
        <v>H1</v>
      </c>
      <c r="C6" s="422">
        <v>44889</v>
      </c>
      <c r="D6" s="423">
        <v>0.45833333333333331</v>
      </c>
      <c r="E6" s="424">
        <v>974</v>
      </c>
      <c r="F6" s="168" t="s">
        <v>7</v>
      </c>
      <c r="G6" s="440" t="str">
        <f>Z16</f>
        <v>Portugal</v>
      </c>
      <c r="H6" s="708">
        <f>VLOOKUP($B$6,DB_PARTIDOS!$A$1:$I$65,5)</f>
        <v>2</v>
      </c>
      <c r="I6" s="440" t="str">
        <f>Z19</f>
        <v>Ghana</v>
      </c>
      <c r="J6" s="708">
        <f>VLOOKUP($B$6,DB_PARTIDOS!$A$1:$I$65,7)</f>
        <v>0</v>
      </c>
      <c r="K6" s="395">
        <f>IF(OR(H6="",J6="",H7="",J7=""),0,(IF(OR(AND(H6&gt;J6,H7&gt;J7),AND(H6=J6,H7=J7),AND(H6&lt;J6,H7&lt;J7)),AA28,0)))</f>
        <v>0</v>
      </c>
      <c r="L6" s="395">
        <f>IF(OR(H6="",J6="",H7="",J7=""),0,IF(AND(H6=H7,J6=J7),AB28,0))</f>
        <v>0</v>
      </c>
      <c r="M6" s="427">
        <f>K6+L6</f>
        <v>0</v>
      </c>
      <c r="N6" s="196" t="s">
        <v>12</v>
      </c>
      <c r="O6" s="115" t="s">
        <v>13</v>
      </c>
      <c r="P6" s="115" t="s">
        <v>14</v>
      </c>
      <c r="Q6" s="115" t="s">
        <v>15</v>
      </c>
      <c r="R6" s="115" t="s">
        <v>16</v>
      </c>
      <c r="S6" s="115" t="s">
        <v>17</v>
      </c>
      <c r="T6" s="115" t="s">
        <v>18</v>
      </c>
      <c r="U6" s="115" t="s">
        <v>19</v>
      </c>
      <c r="V6" s="11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375"/>
      <c r="D7" s="377"/>
      <c r="E7" s="379"/>
      <c r="F7" s="213" t="s">
        <v>8</v>
      </c>
      <c r="G7" s="438"/>
      <c r="H7" s="218"/>
      <c r="I7" s="438"/>
      <c r="J7" s="218"/>
      <c r="K7" s="396"/>
      <c r="L7" s="396"/>
      <c r="M7" s="403"/>
      <c r="N7" s="457" t="str">
        <f>Z21</f>
        <v>Portugal</v>
      </c>
      <c r="O7" s="453">
        <f t="shared" ref="O7:U7" si="0">AA21</f>
        <v>0</v>
      </c>
      <c r="P7" s="453">
        <f t="shared" si="0"/>
        <v>0</v>
      </c>
      <c r="Q7" s="453">
        <f t="shared" si="0"/>
        <v>0</v>
      </c>
      <c r="R7" s="453">
        <f t="shared" si="0"/>
        <v>0</v>
      </c>
      <c r="S7" s="453">
        <f t="shared" si="0"/>
        <v>0</v>
      </c>
      <c r="T7" s="453">
        <f t="shared" si="0"/>
        <v>0</v>
      </c>
      <c r="U7" s="579">
        <f t="shared" si="0"/>
        <v>0</v>
      </c>
      <c r="V7" s="455">
        <f>AH21</f>
        <v>0</v>
      </c>
      <c r="Z7" s="385" t="str">
        <f>Z16</f>
        <v>Portugal</v>
      </c>
      <c r="AA7" s="393">
        <f>SUM(IF(AND($H$7&lt;&gt;"",$J$7&lt;&gt;"",$H$7&gt;$J$7),1,0)+IF(AND($H$13&lt;&gt;"",$J$13&lt;&gt;"",$H$13&gt;$J$13),1,0)+IF(AND($H$17&lt;&gt;"",$J$17&lt;&gt;"",$J$17&gt;$H$17),1,0))</f>
        <v>0</v>
      </c>
      <c r="AB7" s="393">
        <f>SUM(IF(AND($H$7&lt;&gt;"",$J$7&lt;&gt;"",$H$7=$J$7),1,0)+IF(AND($H$13&lt;&gt;"",$J$13&lt;&gt;"",$H$13=$J$13),1,0)+IF(AND($H$17&lt;&gt;"",$J$17&lt;&gt;"",$J$17=$H$17),1,0))</f>
        <v>0</v>
      </c>
      <c r="AC7" s="393">
        <f>SUM(IF(AND($H$7&lt;&gt;"",$J$7&lt;&gt;"",$H$7&lt;$J$7),1,0)+IF(AND($H$13&lt;&gt;"",$J$13&lt;&gt;"",$H$13&lt;$J$13),1,0)+IF(AND($H$17&lt;&gt;"",$J$17&lt;&gt;"",$J$17&lt;$H$17),1,0))</f>
        <v>0</v>
      </c>
      <c r="AD7" s="393">
        <f>SUM($H$7,$H$13,$J$17)</f>
        <v>0</v>
      </c>
      <c r="AE7" s="461">
        <f>SUM($J$7,$J$11,$H$15)</f>
        <v>0</v>
      </c>
      <c r="AF7" s="393">
        <f>AD7-AE7</f>
        <v>0</v>
      </c>
      <c r="AG7" s="393">
        <f>(AA7*3+AB7)</f>
        <v>0</v>
      </c>
      <c r="AH7" s="394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H2</v>
      </c>
      <c r="C8" s="375">
        <v>44889</v>
      </c>
      <c r="D8" s="377">
        <v>0.33333333333333331</v>
      </c>
      <c r="E8" s="381" t="s">
        <v>197</v>
      </c>
      <c r="F8" s="169" t="s">
        <v>7</v>
      </c>
      <c r="G8" s="438" t="str">
        <f>Z18</f>
        <v>Uruguay</v>
      </c>
      <c r="H8" s="709">
        <f>VLOOKUP(B8,DB_PARTIDOS!$A$1:$I$65,5)</f>
        <v>3</v>
      </c>
      <c r="I8" s="438" t="str">
        <f>Z17</f>
        <v>Corea del Sur</v>
      </c>
      <c r="J8" s="709">
        <f>VLOOKUP($B$8,DB_PARTIDOS!$A$1:$I$65,7)</f>
        <v>1</v>
      </c>
      <c r="K8" s="396">
        <f>IF(OR(H8="",J8="",H9="",J9=""),0,(IF(OR(AND(H8&gt;J8,H9&gt;J9),AND(H8=J8,H9=J9),AND(H8&lt;J8,H9&lt;J9)),AA28,0)))</f>
        <v>0</v>
      </c>
      <c r="L8" s="396">
        <f>IF(OR(H8="",J8="",H9="",J9=""),0,IF(AND(H8=H9,J8=J9),AB28,0))</f>
        <v>0</v>
      </c>
      <c r="M8" s="403">
        <f>K8+L8</f>
        <v>0</v>
      </c>
      <c r="N8" s="457"/>
      <c r="O8" s="453"/>
      <c r="P8" s="453"/>
      <c r="Q8" s="453"/>
      <c r="R8" s="453"/>
      <c r="S8" s="453"/>
      <c r="T8" s="453"/>
      <c r="U8" s="579"/>
      <c r="V8" s="455"/>
      <c r="Z8" s="386"/>
      <c r="AA8" s="389"/>
      <c r="AB8" s="389"/>
      <c r="AC8" s="389"/>
      <c r="AD8" s="389"/>
      <c r="AE8" s="459"/>
      <c r="AF8" s="389"/>
      <c r="AG8" s="389"/>
      <c r="AH8" s="390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375"/>
      <c r="D9" s="377"/>
      <c r="E9" s="381"/>
      <c r="F9" s="213" t="s">
        <v>8</v>
      </c>
      <c r="G9" s="438"/>
      <c r="H9" s="218"/>
      <c r="I9" s="438"/>
      <c r="J9" s="218"/>
      <c r="K9" s="396"/>
      <c r="L9" s="396"/>
      <c r="M9" s="403"/>
      <c r="N9" s="457" t="str">
        <f>Z22</f>
        <v>Corea del Sur</v>
      </c>
      <c r="O9" s="453">
        <f t="shared" ref="O9:V9" si="1">AA22</f>
        <v>0</v>
      </c>
      <c r="P9" s="453">
        <f t="shared" si="1"/>
        <v>0</v>
      </c>
      <c r="Q9" s="453">
        <f t="shared" si="1"/>
        <v>0</v>
      </c>
      <c r="R9" s="453">
        <f t="shared" si="1"/>
        <v>0</v>
      </c>
      <c r="S9" s="453">
        <f t="shared" si="1"/>
        <v>0</v>
      </c>
      <c r="T9" s="453">
        <f t="shared" si="1"/>
        <v>0</v>
      </c>
      <c r="U9" s="579">
        <f t="shared" si="1"/>
        <v>0</v>
      </c>
      <c r="V9" s="455">
        <f t="shared" si="1"/>
        <v>0</v>
      </c>
      <c r="Z9" s="386" t="str">
        <f>Z17</f>
        <v>Corea del Sur</v>
      </c>
      <c r="AA9" s="389">
        <f>SUM(IF(AND($H$9&lt;&gt;"",$J$9&lt;&gt;"",$H$9&lt;$J$9),1,0)+IF(AND($H$11&lt;&gt;"",$J$11&lt;&gt;"",$J$11&lt;$H$11),1,0)+IF(AND($H$17&lt;&gt;"",$J$17&lt;&gt;"",$J$17&lt;$H$17),1,0))</f>
        <v>0</v>
      </c>
      <c r="AB9" s="389">
        <f>SUM(IF(AND($H$9&lt;&gt;"",$J$9&lt;&gt;"",$H$9=$J$9),1,0)+IF(AND($H$11&lt;&gt;"",$J$11&lt;&gt;"",$J$11=$H$11),1,0)+IF(AND($H$17&lt;&gt;"",$J$17&lt;&gt;"",$J$17=$H$17),1,0))</f>
        <v>0</v>
      </c>
      <c r="AC9" s="389">
        <f>SUM(IF(AND($H$9&lt;&gt;"",$J$9&lt;&gt;"",$H$9&gt;$J$9),1,0)+IF(AND($H$11&lt;&gt;"",$J$11&lt;&gt;"",$J$11&gt;$H$11),1,0)+IF(AND($H$17&lt;&gt;"",$J$17&lt;&gt;"",$J$17&gt;H$17),1,0))</f>
        <v>0</v>
      </c>
      <c r="AD9" s="389">
        <f>SUM($J$9,$H$11,$H$17)</f>
        <v>0</v>
      </c>
      <c r="AE9" s="391">
        <f>SUM($H$9,$J$11,$J$17)</f>
        <v>0</v>
      </c>
      <c r="AF9" s="389">
        <f>AD9-AE9</f>
        <v>0</v>
      </c>
      <c r="AG9" s="389">
        <f>(AA9*3+AB9)</f>
        <v>0</v>
      </c>
      <c r="AH9" s="390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H3</v>
      </c>
      <c r="C10" s="375">
        <v>44893</v>
      </c>
      <c r="D10" s="377">
        <v>0.33333333333333331</v>
      </c>
      <c r="E10" s="381" t="s">
        <v>197</v>
      </c>
      <c r="F10" s="169" t="s">
        <v>7</v>
      </c>
      <c r="G10" s="438" t="str">
        <f>Z17</f>
        <v>Corea del Sur</v>
      </c>
      <c r="H10" s="709">
        <f>VLOOKUP(B10,DB_PARTIDOS!$A$1:$I$65,5)</f>
        <v>1</v>
      </c>
      <c r="I10" s="438" t="str">
        <f>Z19</f>
        <v>Ghana</v>
      </c>
      <c r="J10" s="709">
        <f>VLOOKUP($B$10,DB_PARTIDOS!$A$1:$I$65,7)</f>
        <v>3</v>
      </c>
      <c r="K10" s="396">
        <f>IF(OR(H10="",J10="",H11="",J11=""),0,(IF(OR(AND(H10&gt;J10,H11&gt;J11),AND(H10=J10,H11=J11),AND(H10&lt;J10,H11&lt;J11)),AA28,0)))</f>
        <v>0</v>
      </c>
      <c r="L10" s="396">
        <f>IF(OR(H10="",J10="",H11="",J11=""),0,IF(AND(H10=H11,J10=J11),AB28,0))</f>
        <v>0</v>
      </c>
      <c r="M10" s="403">
        <f>K10+L10</f>
        <v>0</v>
      </c>
      <c r="N10" s="457"/>
      <c r="O10" s="453"/>
      <c r="P10" s="453"/>
      <c r="Q10" s="453"/>
      <c r="R10" s="453"/>
      <c r="S10" s="453"/>
      <c r="T10" s="453"/>
      <c r="U10" s="579"/>
      <c r="V10" s="455"/>
      <c r="Z10" s="386"/>
      <c r="AA10" s="389"/>
      <c r="AB10" s="389"/>
      <c r="AC10" s="389"/>
      <c r="AD10" s="389"/>
      <c r="AE10" s="459"/>
      <c r="AF10" s="389"/>
      <c r="AG10" s="389"/>
      <c r="AH10" s="390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375"/>
      <c r="D11" s="377"/>
      <c r="E11" s="381"/>
      <c r="F11" s="213" t="s">
        <v>8</v>
      </c>
      <c r="G11" s="438"/>
      <c r="H11" s="218"/>
      <c r="I11" s="438"/>
      <c r="J11" s="218"/>
      <c r="K11" s="396"/>
      <c r="L11" s="396"/>
      <c r="M11" s="403"/>
      <c r="N11" s="457" t="str">
        <f>Z23</f>
        <v>Uruguay</v>
      </c>
      <c r="O11" s="453">
        <f t="shared" ref="O11:V11" si="2">AA23</f>
        <v>0</v>
      </c>
      <c r="P11" s="453">
        <f t="shared" si="2"/>
        <v>0</v>
      </c>
      <c r="Q11" s="453">
        <f t="shared" si="2"/>
        <v>0</v>
      </c>
      <c r="R11" s="453">
        <f t="shared" si="2"/>
        <v>0</v>
      </c>
      <c r="S11" s="453">
        <f t="shared" si="2"/>
        <v>0</v>
      </c>
      <c r="T11" s="453">
        <f t="shared" si="2"/>
        <v>0</v>
      </c>
      <c r="U11" s="579">
        <f t="shared" si="2"/>
        <v>0</v>
      </c>
      <c r="V11" s="455">
        <f t="shared" si="2"/>
        <v>0</v>
      </c>
      <c r="Z11" s="386" t="str">
        <f>Z18</f>
        <v>Uruguay</v>
      </c>
      <c r="AA11" s="389">
        <f>SUM(IF(AND($H$9&lt;&gt;"",$J$9&lt;&gt;"",$J$9&lt;$H$9),1,0)+IF(AND($H$13&lt;&gt;"",$J$13&lt;&gt;"",$H$13&lt;J$13),1,0)+IF(AND($H$15&lt;&gt;"",$J$15&lt;&gt;"",$H$15&lt;$J$15),1,0))</f>
        <v>0</v>
      </c>
      <c r="AB11" s="389">
        <f>SUM(IF(AND($H$9&lt;&gt;"",$J$9&lt;&gt;"",$J$9=$H$9),1,0)+IF(AND($H$13&lt;&gt;"",$J$13&lt;&gt;"",$H$13=$J$13),1,0)+IF(AND($H$15&lt;&gt;"",$J$15&lt;&gt;"",$H$15=$J$15),1,0))</f>
        <v>0</v>
      </c>
      <c r="AC11" s="389">
        <f>SUM(IF(AND($H$9&lt;&gt;"",$J$9&lt;&gt;"",$J$9&gt;$H$9),1,0)+IF(AND($H$13&lt;&gt;"",$J$13&lt;&gt;"",$H$13&gt;$J$13),1,0)+IF(AND($H$15&lt;&gt;"",$J$15&lt;&gt;"",$H$15&gt;$J$15),1,0))</f>
        <v>0</v>
      </c>
      <c r="AD11" s="389">
        <f>SUM($H$9,$J$13,$J$15)</f>
        <v>0</v>
      </c>
      <c r="AE11" s="391">
        <f>SUM($J$9,$H$13,$H$15)</f>
        <v>0</v>
      </c>
      <c r="AF11" s="389">
        <f>AD11-AE11</f>
        <v>0</v>
      </c>
      <c r="AG11" s="389">
        <f>(AA11*3+AB11)</f>
        <v>0</v>
      </c>
      <c r="AH11" s="390">
        <f>SUM(AA11,AB11,AC11)</f>
        <v>0</v>
      </c>
      <c r="AI11" s="53"/>
      <c r="AJ11" s="53"/>
    </row>
    <row r="12" spans="2:46" x14ac:dyDescent="0.25">
      <c r="B12" s="38" t="str">
        <f>CONCATENATE(MID($C$2,7,1),4)</f>
        <v>H4</v>
      </c>
      <c r="C12" s="375">
        <v>44893</v>
      </c>
      <c r="D12" s="377">
        <v>0.58333333333333337</v>
      </c>
      <c r="E12" s="379" t="s">
        <v>198</v>
      </c>
      <c r="F12" s="169" t="s">
        <v>7</v>
      </c>
      <c r="G12" s="438" t="str">
        <f>Z16</f>
        <v>Portugal</v>
      </c>
      <c r="H12" s="709">
        <f>VLOOKUP(B12,DB_PARTIDOS!$A$1:$I$65,5)</f>
        <v>2</v>
      </c>
      <c r="I12" s="438" t="str">
        <f>Z18</f>
        <v>Uruguay</v>
      </c>
      <c r="J12" s="709">
        <f>VLOOKUP($B$12,DB_PARTIDOS!$A$1:$I$65,7)</f>
        <v>2</v>
      </c>
      <c r="K12" s="396">
        <f>IF(OR(H12="",J12="",H13="",J13=""),0,(IF(OR(AND(H12&gt;J12,H13&gt;J13),AND(H12=J12,H13=J13),AND(H12&lt;J12,H13&lt;J13)),AA28,0)))</f>
        <v>0</v>
      </c>
      <c r="L12" s="396">
        <f>IF(OR(H12="",J12="",H13="",J13=""),0,IF(AND(H12=H13,J12=J13),AB28,0))</f>
        <v>0</v>
      </c>
      <c r="M12" s="403">
        <f>K12+L12</f>
        <v>0</v>
      </c>
      <c r="N12" s="457"/>
      <c r="O12" s="453"/>
      <c r="P12" s="453"/>
      <c r="Q12" s="453"/>
      <c r="R12" s="453"/>
      <c r="S12" s="453"/>
      <c r="T12" s="453"/>
      <c r="U12" s="579"/>
      <c r="V12" s="455"/>
      <c r="Z12" s="386"/>
      <c r="AA12" s="389"/>
      <c r="AB12" s="389"/>
      <c r="AC12" s="389"/>
      <c r="AD12" s="389"/>
      <c r="AE12" s="459"/>
      <c r="AF12" s="389"/>
      <c r="AG12" s="389"/>
      <c r="AH12" s="390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375"/>
      <c r="D13" s="377"/>
      <c r="E13" s="379"/>
      <c r="F13" s="213" t="s">
        <v>8</v>
      </c>
      <c r="G13" s="438"/>
      <c r="H13" s="218"/>
      <c r="I13" s="438"/>
      <c r="J13" s="218"/>
      <c r="K13" s="396"/>
      <c r="L13" s="396"/>
      <c r="M13" s="403"/>
      <c r="N13" s="457" t="str">
        <f>Z24</f>
        <v>Ghana</v>
      </c>
      <c r="O13" s="453">
        <f t="shared" ref="O13:V13" si="3">AA24</f>
        <v>0</v>
      </c>
      <c r="P13" s="453">
        <f t="shared" si="3"/>
        <v>0</v>
      </c>
      <c r="Q13" s="453">
        <f t="shared" si="3"/>
        <v>0</v>
      </c>
      <c r="R13" s="453">
        <f t="shared" si="3"/>
        <v>0</v>
      </c>
      <c r="S13" s="453">
        <f t="shared" si="3"/>
        <v>0</v>
      </c>
      <c r="T13" s="453">
        <f t="shared" si="3"/>
        <v>0</v>
      </c>
      <c r="U13" s="579">
        <f t="shared" si="3"/>
        <v>0</v>
      </c>
      <c r="V13" s="455">
        <f t="shared" si="3"/>
        <v>0</v>
      </c>
      <c r="Z13" s="386" t="str">
        <f>Z19</f>
        <v>Ghana</v>
      </c>
      <c r="AA13" s="389">
        <f>SUM(IF(AND($H$7&lt;&gt;"",$J$7&lt;&gt;"",$J$7&gt;$H$7),1,0)+IF(AND($H$11&lt;&gt;"",$J$11&lt;&gt;"",$J$11&gt;$H$11),1,0)+IF(AND($H$15&lt;&gt;"",$J$15&lt;&gt;"",$H$15&gt;$J$15),1,0))</f>
        <v>0</v>
      </c>
      <c r="AB13" s="389">
        <f>SUM(IF(AND($H$7&lt;&gt;"",$J$7&lt;&gt;"",$J$7=$H$7),1,0)+IF(AND($H$11&lt;&gt;"",$J$11&lt;&gt;"",$J$11=$H$11),1,0)+IF(AND($H$15&lt;&gt;"",$J$15&lt;&gt;"",$H$15=$J$15),1,0))</f>
        <v>0</v>
      </c>
      <c r="AC13" s="389">
        <f>SUM(IF(AND($H$7&lt;&gt;"",$J$7&lt;&gt;"",$J$7&lt;$H$7),1,0)+IF(AND($H$11&lt;&gt;"",$J$11&lt;&gt;"",$J$11&lt;$H$11),1,0)+IF(AND($H$15&lt;&gt;"",$J$15&lt;&gt;"",$H$15&lt;$J$15),1,0))</f>
        <v>0</v>
      </c>
      <c r="AD13" s="389">
        <f>SUM($J$7,$J$11,$H$15)</f>
        <v>0</v>
      </c>
      <c r="AE13" s="391">
        <f>SUM($H$7,$H$11,$J$15)</f>
        <v>0</v>
      </c>
      <c r="AF13" s="389">
        <f>AD13-AE13</f>
        <v>0</v>
      </c>
      <c r="AG13" s="389">
        <f>(AA13*3+AB13)</f>
        <v>0</v>
      </c>
      <c r="AH13" s="390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H5</v>
      </c>
      <c r="C14" s="375">
        <v>44897</v>
      </c>
      <c r="D14" s="377">
        <v>0.41666666666666669</v>
      </c>
      <c r="E14" s="379" t="s">
        <v>199</v>
      </c>
      <c r="F14" s="169" t="s">
        <v>7</v>
      </c>
      <c r="G14" s="438" t="str">
        <f>Z19</f>
        <v>Ghana</v>
      </c>
      <c r="H14" s="709">
        <f>VLOOKUP(B14,DB_PARTIDOS!$A$1:$I$65,5)</f>
        <v>1</v>
      </c>
      <c r="I14" s="438" t="str">
        <f>Z18</f>
        <v>Uruguay</v>
      </c>
      <c r="J14" s="709">
        <f>VLOOKUP($B$14,DB_PARTIDOS!$A$1:$I$65,7)</f>
        <v>1</v>
      </c>
      <c r="K14" s="396">
        <f>IF(OR(H14="",J14="",H15="",J15=""),0,(IF(OR(AND(H14&gt;J14,H15&gt;J15),AND(H14=J14,H15=J15),AND(H14&lt;J14,H15&lt;J15)),AA28,0)))</f>
        <v>0</v>
      </c>
      <c r="L14" s="396">
        <f>IF(OR(H14="",J14="",H15="",J15=""),0,IF(AND(H14=H15,J14=J15),AB28,0))</f>
        <v>0</v>
      </c>
      <c r="M14" s="403">
        <f>K14+L14</f>
        <v>0</v>
      </c>
      <c r="N14" s="458"/>
      <c r="O14" s="454"/>
      <c r="P14" s="454"/>
      <c r="Q14" s="454"/>
      <c r="R14" s="454"/>
      <c r="S14" s="454"/>
      <c r="T14" s="454"/>
      <c r="U14" s="580"/>
      <c r="V14" s="456"/>
      <c r="Z14" s="387"/>
      <c r="AA14" s="391"/>
      <c r="AB14" s="391"/>
      <c r="AC14" s="391"/>
      <c r="AD14" s="391"/>
      <c r="AE14" s="452"/>
      <c r="AF14" s="391"/>
      <c r="AG14" s="391"/>
      <c r="AH14" s="392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375"/>
      <c r="D15" s="377"/>
      <c r="E15" s="379"/>
      <c r="F15" s="213" t="s">
        <v>8</v>
      </c>
      <c r="G15" s="438"/>
      <c r="H15" s="218"/>
      <c r="I15" s="438"/>
      <c r="J15" s="218"/>
      <c r="K15" s="396"/>
      <c r="L15" s="396"/>
      <c r="M15" s="403"/>
      <c r="N15" s="197" t="s">
        <v>26</v>
      </c>
      <c r="O15" s="633" t="s">
        <v>22</v>
      </c>
      <c r="P15" s="633"/>
      <c r="Q15" s="633"/>
      <c r="R15" s="633"/>
      <c r="S15" s="633" t="s">
        <v>23</v>
      </c>
      <c r="T15" s="633"/>
      <c r="U15" s="633"/>
      <c r="V15" s="130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H6</v>
      </c>
      <c r="C16" s="375">
        <v>44897</v>
      </c>
      <c r="D16" s="377">
        <v>0.41666666666666669</v>
      </c>
      <c r="E16" s="381" t="s">
        <v>197</v>
      </c>
      <c r="F16" s="169" t="s">
        <v>7</v>
      </c>
      <c r="G16" s="438" t="str">
        <f>Z17</f>
        <v>Corea del Sur</v>
      </c>
      <c r="H16" s="709">
        <f>VLOOKUP(B16,DB_PARTIDOS!$A$1:$I$65,5)</f>
        <v>0</v>
      </c>
      <c r="I16" s="438" t="str">
        <f>Z16</f>
        <v>Portugal</v>
      </c>
      <c r="J16" s="709">
        <f>VLOOKUP($B$16,DB_PARTIDOS!$A$1:$I$65,7)</f>
        <v>2</v>
      </c>
      <c r="K16" s="396">
        <f>IF(OR(H16="",J16="",H17="",J17=""),0,(IF(OR(AND(H16&gt;J16,H17&gt;J17),AND(H16=J16,H17=J17),AND(H16&lt;J16,H17&lt;J17)),AA28,0)))</f>
        <v>0</v>
      </c>
      <c r="L16" s="396">
        <f>IF(OR(H16="",J16="",H17="",J17=""),0,IF(AND(H16=H17,J16=J17),AB28,0))</f>
        <v>0</v>
      </c>
      <c r="M16" s="403">
        <f>K16+L16</f>
        <v>0</v>
      </c>
      <c r="N16" s="710">
        <v>1</v>
      </c>
      <c r="O16" s="711" t="str">
        <f>VLOOKUP(X16,DB_PARTIDOS!$L$1:$M$17,2)</f>
        <v>Portugal</v>
      </c>
      <c r="P16" s="711"/>
      <c r="Q16" s="711"/>
      <c r="R16" s="711"/>
      <c r="S16" s="712" t="str">
        <f>N7</f>
        <v>Portugal</v>
      </c>
      <c r="T16" s="712"/>
      <c r="U16" s="712"/>
      <c r="V16" s="306">
        <f>IF(OR(O16=S16,O16=S17),AC28,0)+IF(O16=S16,2,0)</f>
        <v>4</v>
      </c>
      <c r="X16" s="38" t="str">
        <f>CONCATENATE(MID($C$2,7,1),N16)</f>
        <v>H1</v>
      </c>
      <c r="Z16" s="61" t="s">
        <v>111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376"/>
      <c r="D17" s="378"/>
      <c r="E17" s="449"/>
      <c r="F17" s="214" t="s">
        <v>8</v>
      </c>
      <c r="G17" s="439"/>
      <c r="H17" s="217"/>
      <c r="I17" s="439"/>
      <c r="J17" s="217"/>
      <c r="K17" s="437"/>
      <c r="L17" s="437"/>
      <c r="M17" s="404"/>
      <c r="N17" s="713">
        <v>2</v>
      </c>
      <c r="O17" s="714" t="str">
        <f>VLOOKUP(X17,DB_PARTIDOS!$L$1:$M$17,2)</f>
        <v>Uruguay</v>
      </c>
      <c r="P17" s="714"/>
      <c r="Q17" s="714"/>
      <c r="R17" s="714"/>
      <c r="S17" s="402" t="str">
        <f>N9</f>
        <v>Corea del Sur</v>
      </c>
      <c r="T17" s="402"/>
      <c r="U17" s="402"/>
      <c r="V17" s="307">
        <f>IF(OR(O17=S17,O17=S16),AC28,0)+IF(O17=S17,2,0)</f>
        <v>0</v>
      </c>
      <c r="X17" s="38" t="str">
        <f>CONCATENATE(MID($C$2,7,1),N17)</f>
        <v>H2</v>
      </c>
      <c r="Z17" s="68" t="s">
        <v>112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104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369" t="s">
        <v>182</v>
      </c>
      <c r="D19" s="37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191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371"/>
      <c r="D20" s="37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373"/>
      <c r="D21" s="374"/>
      <c r="E21" s="28"/>
      <c r="F21" s="28"/>
      <c r="G21" s="28"/>
      <c r="H21" s="28"/>
      <c r="I21" s="28"/>
      <c r="J21" s="627" t="s">
        <v>93</v>
      </c>
      <c r="K21" s="628"/>
      <c r="L21" s="434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Portugal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3" t="s">
        <v>57</v>
      </c>
      <c r="D22" s="161" t="s">
        <v>26</v>
      </c>
      <c r="E22" s="28"/>
      <c r="F22" s="28"/>
      <c r="G22" s="28"/>
      <c r="H22" s="28"/>
      <c r="I22" s="28"/>
      <c r="J22" s="629"/>
      <c r="K22" s="630"/>
      <c r="L22" s="435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Corea del Sur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Portugal</v>
      </c>
      <c r="D23" s="109">
        <v>1</v>
      </c>
      <c r="E23" s="28"/>
      <c r="F23" s="28"/>
      <c r="G23" s="28"/>
      <c r="H23" s="28"/>
      <c r="I23" s="28"/>
      <c r="J23" s="631"/>
      <c r="K23" s="632"/>
      <c r="L23" s="436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Uruguay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Corea del Sur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Ghana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Uruguay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Ghana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382" t="s">
        <v>65</v>
      </c>
      <c r="AB26" s="383"/>
      <c r="AC26" s="384"/>
      <c r="AD26" s="3"/>
    </row>
    <row r="27" spans="3:45" ht="15.75" thickBot="1" x14ac:dyDescent="0.3">
      <c r="C27" s="88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93"/>
      <c r="F28" s="94"/>
      <c r="G28" s="33"/>
      <c r="H28" s="95"/>
      <c r="I28" s="33"/>
      <c r="J28" s="96"/>
      <c r="K28" s="33"/>
      <c r="L28" s="97"/>
      <c r="M28" s="98"/>
      <c r="N28" s="92"/>
      <c r="O28" s="92"/>
      <c r="P28" s="92"/>
      <c r="Q28" s="92"/>
      <c r="R28" s="92"/>
      <c r="S28" s="92"/>
      <c r="T28" s="92"/>
      <c r="U28" s="92"/>
      <c r="AA28" s="69">
        <v>2</v>
      </c>
      <c r="AB28" s="69">
        <v>2</v>
      </c>
      <c r="AC28" s="69">
        <v>2</v>
      </c>
    </row>
    <row r="29" spans="3:45" x14ac:dyDescent="0.25">
      <c r="D29" s="92"/>
      <c r="E29" s="93"/>
      <c r="F29" s="94"/>
      <c r="G29" s="33"/>
      <c r="H29" s="95"/>
      <c r="I29" s="33"/>
      <c r="J29" s="96"/>
      <c r="K29" s="33"/>
      <c r="L29" s="97"/>
      <c r="M29" s="98"/>
      <c r="N29" s="92"/>
      <c r="O29" s="92"/>
      <c r="P29" s="92"/>
      <c r="Q29" s="92"/>
      <c r="R29" s="92"/>
      <c r="S29" s="92"/>
      <c r="T29" s="92"/>
      <c r="U29" s="92"/>
    </row>
    <row r="30" spans="3:45" x14ac:dyDescent="0.25">
      <c r="D30" s="92"/>
      <c r="E30" s="93"/>
      <c r="F30" s="94"/>
      <c r="G30" s="33"/>
      <c r="H30" s="95"/>
      <c r="I30" s="33"/>
      <c r="J30" s="96"/>
      <c r="K30" s="33"/>
      <c r="L30" s="97"/>
      <c r="M30" s="98"/>
      <c r="N30" s="92"/>
      <c r="O30" s="92"/>
      <c r="P30" s="92"/>
      <c r="Q30" s="92"/>
      <c r="R30" s="92"/>
      <c r="S30" s="92"/>
      <c r="T30" s="92"/>
      <c r="U30" s="92"/>
    </row>
    <row r="31" spans="3:45" x14ac:dyDescent="0.25">
      <c r="D31" s="92"/>
      <c r="E31" s="93"/>
      <c r="F31" s="94"/>
      <c r="G31" s="33"/>
      <c r="H31" s="95"/>
      <c r="I31" s="33"/>
      <c r="J31" s="96"/>
      <c r="K31" s="33"/>
      <c r="L31" s="97"/>
      <c r="M31" s="98"/>
      <c r="N31" s="92"/>
      <c r="O31" s="92"/>
      <c r="P31" s="92"/>
      <c r="Q31" s="92"/>
      <c r="R31" s="92"/>
      <c r="S31" s="92"/>
      <c r="T31" s="92"/>
      <c r="U31" s="92"/>
    </row>
    <row r="32" spans="3:45" x14ac:dyDescent="0.25">
      <c r="D32" s="92"/>
      <c r="E32" s="93"/>
      <c r="F32" s="94"/>
      <c r="G32" s="33"/>
      <c r="H32" s="95"/>
      <c r="I32" s="33"/>
      <c r="J32" s="96"/>
      <c r="K32" s="33"/>
      <c r="L32" s="97"/>
      <c r="M32" s="98"/>
      <c r="N32" s="92"/>
      <c r="O32" s="92"/>
      <c r="P32" s="92"/>
      <c r="Q32" s="92"/>
      <c r="R32" s="92"/>
      <c r="S32" s="92"/>
      <c r="T32" s="92"/>
      <c r="U32" s="92"/>
    </row>
    <row r="33" spans="4:21" x14ac:dyDescent="0.25">
      <c r="D33" s="92"/>
      <c r="E33" s="93"/>
      <c r="F33" s="94"/>
      <c r="G33" s="33"/>
      <c r="H33" s="95"/>
      <c r="I33" s="33"/>
      <c r="J33" s="96"/>
      <c r="K33" s="33"/>
      <c r="L33" s="97"/>
      <c r="M33" s="98"/>
      <c r="N33" s="92"/>
      <c r="O33" s="92"/>
      <c r="P33" s="92"/>
      <c r="Q33" s="92"/>
      <c r="R33" s="92"/>
      <c r="S33" s="92"/>
      <c r="T33" s="92"/>
      <c r="U33" s="92"/>
    </row>
    <row r="34" spans="4:2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4:21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spans="4:2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4:2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4:21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</sheetData>
  <sheetProtection algorithmName="SHA-512" hashValue="GPwD4o7+B5u8wNiGqIg9oybQfjG2giEB9TZN3m86BtGQ5RVaXlMqPezMxe+LGSCMgNTYpw5BL3phXSqEDRsgng==" saltValue="+WG0541g3q5fH6/aDSlVFg==" spinCount="100000" sheet="1" objects="1" scenarios="1" selectLockedCells="1"/>
  <mergeCells count="135"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</mergeCells>
  <conditionalFormatting sqref="H28:H33">
    <cfRule type="cellIs" dxfId="3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2022-11-08T23:52:43Z</dcterms:modified>
</cp:coreProperties>
</file>