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e7f47660652521/Desktop/Springboard/"/>
    </mc:Choice>
  </mc:AlternateContent>
  <xr:revisionPtr revIDLastSave="0" documentId="8_{A8061BFB-01A1-45DB-87BB-C9676C97F4EE}" xr6:coauthVersionLast="45" xr6:coauthVersionMax="45" xr10:uidLastSave="{00000000-0000-0000-0000-000000000000}"/>
  <bookViews>
    <workbookView xWindow="-110" yWindow="-110" windowWidth="19420" windowHeight="10420" xr2:uid="{04CBA046-BA39-46BC-9975-1363C977218F}"/>
  </bookViews>
  <sheets>
    <sheet name="Sheet1" sheetId="1" r:id="rId1"/>
    <sheet name="Sheet2" sheetId="2" r:id="rId2"/>
  </sheets>
  <definedNames>
    <definedName name="_xlnm.Print_Area" localSheetId="0">Sheet1!$A$13:$D$19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4" i="1" l="1"/>
  <c r="C36" i="1"/>
  <c r="D15" i="1"/>
  <c r="C15" i="1"/>
  <c r="B17" i="1"/>
  <c r="B15" i="1"/>
  <c r="C26" i="1" l="1"/>
  <c r="C35" i="1" s="1"/>
  <c r="H6" i="1" l="1"/>
  <c r="G6" i="1"/>
  <c r="I5" i="1"/>
  <c r="I4" i="1"/>
  <c r="B4" i="1"/>
  <c r="B6" i="1" l="1"/>
  <c r="C33" i="1" s="1"/>
  <c r="P7" i="1"/>
  <c r="I6" i="1"/>
  <c r="K7" i="1" l="1"/>
  <c r="B23" i="1"/>
  <c r="K8" i="1"/>
  <c r="B7" i="1"/>
  <c r="C25" i="1" s="1"/>
  <c r="I18" i="1"/>
  <c r="C23" i="1" s="1"/>
  <c r="C14" i="1"/>
  <c r="P6" i="1"/>
  <c r="P8" i="1" s="1"/>
  <c r="P9" i="1" s="1"/>
  <c r="M4" i="1"/>
  <c r="B14" i="1" l="1"/>
  <c r="C30" i="1"/>
  <c r="B18" i="1" s="1"/>
  <c r="C28" i="1"/>
  <c r="B16" i="1" s="1"/>
  <c r="I17" i="1"/>
  <c r="K20" i="1" s="1"/>
  <c r="I16" i="1"/>
  <c r="G16" i="1"/>
  <c r="H17" i="1"/>
  <c r="H16" i="1"/>
  <c r="H18" i="1"/>
  <c r="G17" i="1"/>
  <c r="G18" i="1"/>
  <c r="C42" i="1" l="1"/>
  <c r="C37" i="1"/>
  <c r="C16" i="1" s="1"/>
  <c r="K21" i="1"/>
  <c r="C43" i="1" s="1"/>
  <c r="D14" i="1"/>
  <c r="C45" i="1" l="1"/>
  <c r="C38" i="1"/>
  <c r="C17" i="1" s="1"/>
  <c r="C46" i="1" l="1"/>
  <c r="D17" i="1" s="1"/>
  <c r="D16" i="1"/>
  <c r="C39" i="1"/>
  <c r="C18" i="1" s="1"/>
  <c r="C47" i="1" l="1"/>
  <c r="D18" i="1" s="1"/>
</calcChain>
</file>

<file path=xl/sharedStrings.xml><?xml version="1.0" encoding="utf-8"?>
<sst xmlns="http://schemas.openxmlformats.org/spreadsheetml/2006/main" count="67" uniqueCount="50">
  <si>
    <t>Participants readmitted</t>
  </si>
  <si>
    <t>Positive readmission</t>
  </si>
  <si>
    <t>Negative readmission</t>
  </si>
  <si>
    <t>Positive predicted</t>
  </si>
  <si>
    <t>Negative Predicted</t>
  </si>
  <si>
    <t>XGBoost confusion matrix</t>
  </si>
  <si>
    <t>Total</t>
  </si>
  <si>
    <t>total</t>
  </si>
  <si>
    <t>Intervention cost for ALL patients (no machine learning model used)</t>
  </si>
  <si>
    <t>Intervention cost for patients who are predicted positive</t>
  </si>
  <si>
    <t>Based on test data, number of admissions in an average hospital that are readmissions</t>
  </si>
  <si>
    <t>number of test participants hospitalized</t>
  </si>
  <si>
    <t>number of test participants readmitted</t>
  </si>
  <si>
    <t>% not readmitted</t>
  </si>
  <si>
    <t>% readnitted</t>
  </si>
  <si>
    <t>Sample Data</t>
  </si>
  <si>
    <t>number of US community hospitals</t>
  </si>
  <si>
    <t>Cost of all readmissions (if no intervention)</t>
  </si>
  <si>
    <t>Option 1: Do nothing</t>
  </si>
  <si>
    <t>Option 1</t>
  </si>
  <si>
    <t>Option 2</t>
  </si>
  <si>
    <t>Option 3</t>
  </si>
  <si>
    <t>Savings</t>
  </si>
  <si>
    <t>Intervention Cost</t>
  </si>
  <si>
    <t>Cost of readmissions</t>
  </si>
  <si>
    <t>Average Hospital</t>
  </si>
  <si>
    <t xml:space="preserve">positive readmission </t>
  </si>
  <si>
    <t>Readmission rate with no intervenstion</t>
  </si>
  <si>
    <t>Cost of readmission</t>
  </si>
  <si>
    <t>Cost of intervention (per patient)</t>
  </si>
  <si>
    <t>Admissions + Readmissions/year</t>
  </si>
  <si>
    <t>Option 2: Intervention for all participants (no ML)</t>
  </si>
  <si>
    <t>Option 3: Intervention only with patients predicted positive by model</t>
  </si>
  <si>
    <t>Inputs &amp; Assumptions</t>
  </si>
  <si>
    <t>Admissions to US hospitals in 2018</t>
  </si>
  <si>
    <t>Total number of first hospitalizations (before readmissions)</t>
  </si>
  <si>
    <t>Readmissions if no intervention</t>
  </si>
  <si>
    <t>Using 'average hospital' data:</t>
  </si>
  <si>
    <t>Readmission rate</t>
  </si>
  <si>
    <t>Assume intervention will reduce readmission by 27%</t>
  </si>
  <si>
    <t>Total Cost</t>
  </si>
  <si>
    <t>Readmissions Cost</t>
  </si>
  <si>
    <t>ML driven re-admission rate</t>
  </si>
  <si>
    <t>Intervention cost</t>
  </si>
  <si>
    <t>Readmission Rate</t>
  </si>
  <si>
    <t>Percent Savings</t>
  </si>
  <si>
    <t>Percent savings</t>
  </si>
  <si>
    <t>By employing the ML model to patient data, the average hospital in the US could savenearly $12.9M/year from reduced readmissions. With further refinement of the model, it is very likely that the actual savings would be even greater.</t>
  </si>
  <si>
    <t>Total number of first hospitalizations</t>
  </si>
  <si>
    <t>Readmission rate reduced by 27% due to intervention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</si>
</sst>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3.95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2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1" fillId="0" borderId="0" xfId="0" applyFont="1" applyAlignment="1">
      <alignment wrapText="1"/>
    </xf>
    <xf numFmtId="0" fontId="0" fillId="3" borderId="1" xfId="0" applyFill="1" applyBorder="1"/>
    <xf numFmtId="0" fontId="0" fillId="3" borderId="3" xfId="0" applyFill="1" applyBorder="1"/>
    <xf numFmtId="3" fontId="0" fillId="3" borderId="4" xfId="0" applyNumberFormat="1" applyFill="1" applyBorder="1"/>
    <xf numFmtId="0" fontId="0" fillId="3" borderId="2" xfId="0" applyFill="1" applyBorder="1"/>
    <xf numFmtId="10" fontId="0" fillId="3" borderId="2" xfId="0" applyNumberFormat="1" applyFill="1" applyBorder="1"/>
    <xf numFmtId="0" fontId="0" fillId="0" borderId="5" xfId="0" applyBorder="1"/>
    <xf numFmtId="0" fontId="0" fillId="0" borderId="5" xfId="0" applyBorder="1" applyAlignment="1">
      <alignment wrapText="1"/>
    </xf>
    <xf numFmtId="0" fontId="0" fillId="2" borderId="5" xfId="0" applyFill="1" applyBorder="1" applyAlignment="1">
      <alignment horizontal="center"/>
    </xf>
    <xf numFmtId="6" fontId="0" fillId="2" borderId="5" xfId="0" applyNumberForma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6" fontId="0" fillId="5" borderId="5" xfId="0" applyNumberFormat="1" applyFill="1" applyBorder="1" applyAlignment="1">
      <alignment horizontal="center"/>
    </xf>
    <xf numFmtId="9" fontId="0" fillId="5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6" fontId="0" fillId="4" borderId="5" xfId="0" applyNumberFormat="1" applyFill="1" applyBorder="1" applyAlignment="1">
      <alignment horizontal="center"/>
    </xf>
    <xf numFmtId="9" fontId="0" fillId="4" borderId="5" xfId="0" applyNumberFormat="1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6" borderId="0" xfId="0" applyFill="1"/>
    <xf numFmtId="0" fontId="1" fillId="6" borderId="0" xfId="0" applyFont="1" applyFill="1"/>
    <xf numFmtId="0" fontId="0" fillId="0" borderId="8" xfId="0" applyFont="1" applyBorder="1"/>
    <xf numFmtId="0" fontId="0" fillId="3" borderId="8" xfId="0" applyFont="1" applyFill="1" applyBorder="1"/>
    <xf numFmtId="0" fontId="0" fillId="0" borderId="0" xfId="0" applyFill="1"/>
    <xf numFmtId="6" fontId="0" fillId="0" borderId="0" xfId="0" applyNumberFormat="1" applyFill="1" applyBorder="1" applyAlignment="1">
      <alignment horizontal="center"/>
    </xf>
    <xf numFmtId="1" fontId="0" fillId="4" borderId="8" xfId="0" applyNumberFormat="1" applyFill="1" applyBorder="1"/>
    <xf numFmtId="10" fontId="0" fillId="0" borderId="0" xfId="0" applyNumberFormat="1"/>
    <xf numFmtId="0" fontId="0" fillId="7" borderId="5" xfId="0" applyFill="1" applyBorder="1"/>
    <xf numFmtId="3" fontId="0" fillId="7" borderId="5" xfId="0" applyNumberFormat="1" applyFill="1" applyBorder="1"/>
    <xf numFmtId="9" fontId="0" fillId="7" borderId="5" xfId="0" applyNumberFormat="1" applyFill="1" applyBorder="1"/>
    <xf numFmtId="1" fontId="0" fillId="7" borderId="5" xfId="0" applyNumberFormat="1" applyFill="1" applyBorder="1"/>
    <xf numFmtId="6" fontId="0" fillId="7" borderId="5" xfId="0" applyNumberFormat="1" applyFill="1" applyBorder="1"/>
    <xf numFmtId="9" fontId="0" fillId="0" borderId="0" xfId="1" applyFont="1"/>
    <xf numFmtId="0" fontId="5" fillId="3" borderId="10" xfId="0" applyFont="1" applyFill="1" applyBorder="1"/>
    <xf numFmtId="0" fontId="5" fillId="4" borderId="11" xfId="0" applyFont="1" applyFill="1" applyBorder="1"/>
    <xf numFmtId="0" fontId="5" fillId="0" borderId="6" xfId="0" applyFont="1" applyBorder="1"/>
    <xf numFmtId="6" fontId="5" fillId="3" borderId="5" xfId="0" applyNumberFormat="1" applyFont="1" applyFill="1" applyBorder="1"/>
    <xf numFmtId="6" fontId="5" fillId="4" borderId="12" xfId="0" applyNumberFormat="1" applyFont="1" applyFill="1" applyBorder="1"/>
    <xf numFmtId="0" fontId="5" fillId="3" borderId="5" xfId="0" applyFont="1" applyFill="1" applyBorder="1"/>
    <xf numFmtId="0" fontId="5" fillId="4" borderId="12" xfId="0" applyFont="1" applyFill="1" applyBorder="1"/>
    <xf numFmtId="9" fontId="5" fillId="4" borderId="12" xfId="0" applyNumberFormat="1" applyFont="1" applyFill="1" applyBorder="1"/>
    <xf numFmtId="9" fontId="5" fillId="3" borderId="5" xfId="0" applyNumberFormat="1" applyFont="1" applyFill="1" applyBorder="1"/>
    <xf numFmtId="0" fontId="5" fillId="3" borderId="15" xfId="0" applyFont="1" applyFill="1" applyBorder="1"/>
    <xf numFmtId="164" fontId="5" fillId="3" borderId="5" xfId="0" applyNumberFormat="1" applyFont="1" applyFill="1" applyBorder="1" applyAlignment="1">
      <alignment horizontal="right"/>
    </xf>
    <xf numFmtId="0" fontId="5" fillId="0" borderId="7" xfId="0" applyFont="1" applyBorder="1"/>
    <xf numFmtId="0" fontId="5" fillId="3" borderId="13" xfId="0" applyFont="1" applyFill="1" applyBorder="1"/>
    <xf numFmtId="0" fontId="5" fillId="0" borderId="16" xfId="0" applyFont="1" applyBorder="1"/>
    <xf numFmtId="0" fontId="5" fillId="4" borderId="17" xfId="0" applyFont="1" applyFill="1" applyBorder="1"/>
    <xf numFmtId="9" fontId="5" fillId="4" borderId="14" xfId="0" applyNumberFormat="1" applyFont="1" applyFill="1" applyBorder="1"/>
    <xf numFmtId="0" fontId="5" fillId="0" borderId="9" xfId="0" applyFont="1" applyBorder="1"/>
    <xf numFmtId="0" fontId="5" fillId="0" borderId="6" xfId="0" applyFont="1" applyBorder="1" applyAlignment="1">
      <alignment horizontal="left"/>
    </xf>
    <xf numFmtId="164" fontId="5" fillId="4" borderId="12" xfId="0" applyNumberFormat="1" applyFont="1" applyFill="1" applyBorder="1" applyAlignment="1">
      <alignment horizontal="right"/>
    </xf>
    <xf numFmtId="6" fontId="5" fillId="3" borderId="13" xfId="0" applyNumberFormat="1" applyFont="1" applyFill="1" applyBorder="1"/>
    <xf numFmtId="6" fontId="5" fillId="3" borderId="15" xfId="0" applyNumberFormat="1" applyFont="1" applyFill="1" applyBorder="1"/>
    <xf numFmtId="9" fontId="5" fillId="4" borderId="17" xfId="0" applyNumberFormat="1" applyFont="1" applyFill="1" applyBorder="1"/>
    <xf numFmtId="0" fontId="5" fillId="0" borderId="7" xfId="0" applyFont="1" applyBorder="1" applyAlignment="1">
      <alignment horizontal="left"/>
    </xf>
    <xf numFmtId="0" fontId="5" fillId="0" borderId="13" xfId="0" applyFont="1" applyBorder="1"/>
    <xf numFmtId="9" fontId="0" fillId="2" borderId="5" xfId="0" applyNumberFormat="1" applyFill="1" applyBorder="1" applyAlignment="1">
      <alignment horizontal="center"/>
    </xf>
    <xf numFmtId="0" fontId="0" fillId="0" borderId="0" xfId="0" applyFill="1" applyAlignment="1">
      <alignment vertical="top" wrapText="1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right" vertical="center" wrapText="1"/>
    </xf>
    <xf numFmtId="6" fontId="6" fillId="0" borderId="0" xfId="0" applyNumberFormat="1" applyFont="1" applyFill="1" applyAlignment="1">
      <alignment horizontal="center" vertical="center" wrapText="1"/>
    </xf>
    <xf numFmtId="0" fontId="3" fillId="0" borderId="0" xfId="0" applyFont="1" applyFill="1"/>
    <xf numFmtId="9" fontId="6" fillId="0" borderId="0" xfId="0" applyNumberFormat="1" applyFont="1" applyFill="1" applyAlignment="1">
      <alignment horizontal="center" vertical="center" wrapText="1"/>
    </xf>
    <xf numFmtId="0" fontId="0" fillId="0" borderId="0" xfId="0" applyFill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5AE8D-5676-4DCC-B0E3-942876913C2E}">
  <dimension ref="A1:P51"/>
  <sheetViews>
    <sheetView tabSelected="1" zoomScale="72" zoomScaleNormal="70" workbookViewId="0">
      <selection activeCell="E29" sqref="E29"/>
    </sheetView>
  </sheetViews>
  <sheetFormatPr defaultRowHeight="14.5" x14ac:dyDescent="0.35"/>
  <cols>
    <col min="1" max="1" width="59.54296875" customWidth="1"/>
    <col min="2" max="2" width="14" bestFit="1" customWidth="1"/>
    <col min="3" max="3" width="22.6328125" bestFit="1" customWidth="1"/>
    <col min="4" max="5" width="14.54296875" customWidth="1"/>
    <col min="6" max="6" width="30.1796875" bestFit="1" customWidth="1"/>
    <col min="7" max="7" width="15.6328125" bestFit="1" customWidth="1"/>
    <col min="8" max="11" width="16.36328125" bestFit="1" customWidth="1"/>
  </cols>
  <sheetData>
    <row r="1" spans="1:16" x14ac:dyDescent="0.35">
      <c r="A1" s="27" t="s">
        <v>33</v>
      </c>
      <c r="B1" s="26"/>
    </row>
    <row r="2" spans="1:16" x14ac:dyDescent="0.35">
      <c r="A2" s="34" t="s">
        <v>34</v>
      </c>
      <c r="B2" s="35">
        <v>34251159</v>
      </c>
      <c r="G2" t="s">
        <v>5</v>
      </c>
    </row>
    <row r="3" spans="1:16" x14ac:dyDescent="0.35">
      <c r="A3" s="34" t="s">
        <v>16</v>
      </c>
      <c r="B3" s="35">
        <v>5198</v>
      </c>
      <c r="G3" t="s">
        <v>3</v>
      </c>
      <c r="H3" t="s">
        <v>4</v>
      </c>
      <c r="I3" t="s">
        <v>6</v>
      </c>
    </row>
    <row r="4" spans="1:16" x14ac:dyDescent="0.35">
      <c r="A4" s="34" t="s">
        <v>30</v>
      </c>
      <c r="B4" s="35">
        <f>B2/B3</f>
        <v>6589.2956906502504</v>
      </c>
      <c r="E4" s="30"/>
      <c r="F4" t="s">
        <v>1</v>
      </c>
      <c r="G4">
        <v>20</v>
      </c>
      <c r="H4">
        <v>38</v>
      </c>
      <c r="I4">
        <f>SUM(G4:H4)</f>
        <v>58</v>
      </c>
      <c r="L4" t="s">
        <v>26</v>
      </c>
      <c r="M4">
        <f>I4/I6</f>
        <v>0.28855721393034828</v>
      </c>
    </row>
    <row r="5" spans="1:16" x14ac:dyDescent="0.35">
      <c r="A5" s="34" t="s">
        <v>27</v>
      </c>
      <c r="B5" s="36">
        <v>0.56000000000000005</v>
      </c>
      <c r="E5" s="30"/>
      <c r="F5" t="s">
        <v>2</v>
      </c>
      <c r="G5">
        <v>21</v>
      </c>
      <c r="H5">
        <v>122</v>
      </c>
      <c r="I5">
        <f>SUM(G5:H5)</f>
        <v>143</v>
      </c>
    </row>
    <row r="6" spans="1:16" x14ac:dyDescent="0.35">
      <c r="A6" s="34" t="s">
        <v>35</v>
      </c>
      <c r="B6" s="37">
        <f>B4/(1+B5)</f>
        <v>4223.9074940065702</v>
      </c>
      <c r="E6" s="30"/>
      <c r="F6" t="s">
        <v>7</v>
      </c>
      <c r="G6">
        <f>SUM(G4:G5)</f>
        <v>41</v>
      </c>
      <c r="H6">
        <f>SUM(H4:H5)</f>
        <v>160</v>
      </c>
      <c r="I6">
        <f>SUM(I4:I5)</f>
        <v>201</v>
      </c>
      <c r="O6" s="6" t="s">
        <v>11</v>
      </c>
      <c r="P6" s="9">
        <f>I6</f>
        <v>201</v>
      </c>
    </row>
    <row r="7" spans="1:16" x14ac:dyDescent="0.35">
      <c r="A7" s="34" t="s">
        <v>36</v>
      </c>
      <c r="B7" s="37">
        <f>B4-B6</f>
        <v>2365.3881966436802</v>
      </c>
      <c r="E7" s="30"/>
      <c r="K7">
        <f>100*I5/I6</f>
        <v>71.144278606965173</v>
      </c>
      <c r="L7" t="s">
        <v>13</v>
      </c>
      <c r="O7" s="6" t="s">
        <v>12</v>
      </c>
      <c r="P7" s="9">
        <f>I4</f>
        <v>58</v>
      </c>
    </row>
    <row r="8" spans="1:16" x14ac:dyDescent="0.35">
      <c r="A8" s="34" t="s">
        <v>28</v>
      </c>
      <c r="B8" s="38">
        <v>14400</v>
      </c>
      <c r="E8" s="30"/>
      <c r="K8">
        <f>100*I4/I6</f>
        <v>28.855721393034827</v>
      </c>
      <c r="L8" t="s">
        <v>14</v>
      </c>
      <c r="O8" s="6" t="s">
        <v>0</v>
      </c>
      <c r="P8" s="10">
        <f>P7/P6</f>
        <v>0.28855721393034828</v>
      </c>
    </row>
    <row r="9" spans="1:16" x14ac:dyDescent="0.35">
      <c r="A9" s="34" t="s">
        <v>29</v>
      </c>
      <c r="B9" s="38">
        <v>1000</v>
      </c>
      <c r="E9" s="30"/>
      <c r="O9" s="7" t="s">
        <v>10</v>
      </c>
      <c r="P9" s="8">
        <f>P8*B4</f>
        <v>1901.3888062572862</v>
      </c>
    </row>
    <row r="10" spans="1:16" x14ac:dyDescent="0.35">
      <c r="A10" s="2"/>
      <c r="E10" s="30"/>
    </row>
    <row r="11" spans="1:16" x14ac:dyDescent="0.35">
      <c r="A11" s="2"/>
      <c r="E11" s="22"/>
    </row>
    <row r="12" spans="1:16" x14ac:dyDescent="0.35">
      <c r="A12" s="2"/>
      <c r="E12" s="31"/>
    </row>
    <row r="13" spans="1:16" x14ac:dyDescent="0.35">
      <c r="A13" s="11"/>
      <c r="B13" s="13" t="s">
        <v>19</v>
      </c>
      <c r="C13" s="15" t="s">
        <v>20</v>
      </c>
      <c r="D13" s="18" t="s">
        <v>21</v>
      </c>
      <c r="E13" s="31"/>
      <c r="F13" t="s">
        <v>37</v>
      </c>
    </row>
    <row r="14" spans="1:16" x14ac:dyDescent="0.35">
      <c r="A14" s="11" t="s">
        <v>24</v>
      </c>
      <c r="B14" s="14">
        <f>C25</f>
        <v>34061590.031668998</v>
      </c>
      <c r="C14" s="16">
        <f>C36</f>
        <v>24864960.723118361</v>
      </c>
      <c r="D14" s="19">
        <f>C44</f>
        <v>17551281.288528793</v>
      </c>
      <c r="E14" s="23"/>
      <c r="G14" t="s">
        <v>5</v>
      </c>
    </row>
    <row r="15" spans="1:16" x14ac:dyDescent="0.35">
      <c r="A15" s="11" t="s">
        <v>23</v>
      </c>
      <c r="B15" s="14">
        <f>0</f>
        <v>0</v>
      </c>
      <c r="C15" s="16">
        <f>C33</f>
        <v>4223907.4940065704</v>
      </c>
      <c r="D15" s="19">
        <f>C42</f>
        <v>861593.07091676304</v>
      </c>
      <c r="E15" s="31"/>
      <c r="G15" t="s">
        <v>3</v>
      </c>
      <c r="H15" t="s">
        <v>4</v>
      </c>
      <c r="I15" t="s">
        <v>6</v>
      </c>
    </row>
    <row r="16" spans="1:16" x14ac:dyDescent="0.35">
      <c r="A16" s="11" t="s">
        <v>40</v>
      </c>
      <c r="B16" s="14">
        <f>C28</f>
        <v>34061590.031668998</v>
      </c>
      <c r="C16" s="16">
        <f>C37</f>
        <v>29088868.217124932</v>
      </c>
      <c r="D16" s="19">
        <f>C45</f>
        <v>18412874.359445557</v>
      </c>
      <c r="E16" s="31"/>
      <c r="F16" t="s">
        <v>1</v>
      </c>
      <c r="G16" s="1">
        <f>$I$18*G4/$I$6</f>
        <v>420.28930288622587</v>
      </c>
      <c r="H16" s="1">
        <f>$I$18*H4/$I$6</f>
        <v>798.54967548382922</v>
      </c>
      <c r="I16" s="1">
        <f>$I$18*I4/$I$6</f>
        <v>1218.838978370055</v>
      </c>
    </row>
    <row r="17" spans="1:11" x14ac:dyDescent="0.35">
      <c r="A17" s="11" t="s">
        <v>22</v>
      </c>
      <c r="B17" s="14">
        <f>C29</f>
        <v>0</v>
      </c>
      <c r="C17" s="16">
        <f>C38</f>
        <v>4972721.8145440668</v>
      </c>
      <c r="D17" s="19">
        <f>C46</f>
        <v>15648715.672223441</v>
      </c>
      <c r="E17" s="23"/>
      <c r="F17" t="s">
        <v>2</v>
      </c>
      <c r="G17" s="1">
        <f t="shared" ref="G17:H18" si="0">$I$18*G5/$I$6</f>
        <v>441.30376803053719</v>
      </c>
      <c r="H17" s="1">
        <f>$I$18*H5/$I$6</f>
        <v>2563.7647476059778</v>
      </c>
      <c r="I17" s="1">
        <f>$I$18*I5/$I$6</f>
        <v>3005.0685156365153</v>
      </c>
    </row>
    <row r="18" spans="1:11" x14ac:dyDescent="0.35">
      <c r="A18" s="11" t="s">
        <v>45</v>
      </c>
      <c r="B18" s="64">
        <f>C30</f>
        <v>0</v>
      </c>
      <c r="C18" s="17">
        <f>C39</f>
        <v>0.14599206349206376</v>
      </c>
      <c r="D18" s="20">
        <f>C47</f>
        <v>0.45942410961067703</v>
      </c>
      <c r="E18" s="30"/>
      <c r="F18" t="s">
        <v>7</v>
      </c>
      <c r="G18" s="1">
        <f t="shared" si="0"/>
        <v>861.59307091676317</v>
      </c>
      <c r="H18" s="1">
        <f t="shared" si="0"/>
        <v>3362.314423089807</v>
      </c>
      <c r="I18" s="1">
        <f>B6</f>
        <v>4223.9074940065702</v>
      </c>
    </row>
    <row r="19" spans="1:11" x14ac:dyDescent="0.35">
      <c r="A19" s="12"/>
      <c r="B19" s="13"/>
      <c r="C19" s="17"/>
      <c r="D19" s="20"/>
      <c r="E19" s="30"/>
    </row>
    <row r="20" spans="1:11" x14ac:dyDescent="0.35">
      <c r="A20" s="21"/>
      <c r="B20" s="22"/>
      <c r="C20" s="23"/>
      <c r="E20" s="30"/>
      <c r="K20" s="33">
        <f>I17/I18</f>
        <v>0.71144278606965172</v>
      </c>
    </row>
    <row r="21" spans="1:11" x14ac:dyDescent="0.35">
      <c r="A21" s="21"/>
      <c r="B21" s="22"/>
      <c r="C21" s="23"/>
      <c r="E21" s="30"/>
      <c r="K21" s="33">
        <f>I16/I18</f>
        <v>0.28855721393034822</v>
      </c>
    </row>
    <row r="22" spans="1:11" s="2" customFormat="1" x14ac:dyDescent="0.35">
      <c r="A22" s="11"/>
      <c r="B22" s="24" t="s">
        <v>15</v>
      </c>
      <c r="C22" s="25" t="s">
        <v>25</v>
      </c>
      <c r="D22"/>
      <c r="E22" s="30"/>
    </row>
    <row r="23" spans="1:11" s="2" customFormat="1" ht="15" thickBot="1" x14ac:dyDescent="0.4">
      <c r="A23" s="28" t="s">
        <v>48</v>
      </c>
      <c r="B23" s="29">
        <f>I6</f>
        <v>201</v>
      </c>
      <c r="C23" s="32">
        <f>I18</f>
        <v>4223.9074940065702</v>
      </c>
      <c r="D23"/>
      <c r="E23" s="30"/>
    </row>
    <row r="24" spans="1:11" s="2" customFormat="1" x14ac:dyDescent="0.35">
      <c r="A24" s="56" t="s">
        <v>18</v>
      </c>
      <c r="B24" s="40"/>
      <c r="C24" s="41"/>
      <c r="D24"/>
    </row>
    <row r="25" spans="1:11" x14ac:dyDescent="0.35">
      <c r="A25" s="42" t="s">
        <v>17</v>
      </c>
      <c r="B25" s="43"/>
      <c r="C25" s="44">
        <f>B8*B7</f>
        <v>34061590.031668998</v>
      </c>
      <c r="E25" s="2"/>
    </row>
    <row r="26" spans="1:11" x14ac:dyDescent="0.35">
      <c r="A26" s="42" t="s">
        <v>38</v>
      </c>
      <c r="B26" s="43"/>
      <c r="C26" s="47">
        <f>B5</f>
        <v>0.56000000000000005</v>
      </c>
      <c r="E26" s="2"/>
    </row>
    <row r="27" spans="1:11" x14ac:dyDescent="0.35">
      <c r="A27" s="42" t="s">
        <v>43</v>
      </c>
      <c r="B27" s="43"/>
      <c r="C27" s="44">
        <v>0</v>
      </c>
      <c r="E27" s="2"/>
    </row>
    <row r="28" spans="1:11" x14ac:dyDescent="0.35">
      <c r="A28" s="42" t="s">
        <v>40</v>
      </c>
      <c r="B28" s="43"/>
      <c r="C28" s="44">
        <f>C25+C27</f>
        <v>34061590.031668998</v>
      </c>
      <c r="E28" s="2"/>
    </row>
    <row r="29" spans="1:11" x14ac:dyDescent="0.35">
      <c r="A29" s="42" t="s">
        <v>22</v>
      </c>
      <c r="B29" s="43"/>
      <c r="C29" s="44">
        <v>0</v>
      </c>
      <c r="D29" s="2"/>
      <c r="E29" s="2"/>
    </row>
    <row r="30" spans="1:11" ht="15" thickBot="1" x14ac:dyDescent="0.4">
      <c r="A30" s="51" t="s">
        <v>46</v>
      </c>
      <c r="B30" s="59"/>
      <c r="C30" s="55">
        <f>C29/C25</f>
        <v>0</v>
      </c>
      <c r="D30" s="2"/>
    </row>
    <row r="31" spans="1:11" ht="15" thickBot="1" x14ac:dyDescent="0.4">
      <c r="A31" s="53"/>
      <c r="B31" s="60"/>
      <c r="C31" s="61"/>
      <c r="D31" s="2"/>
    </row>
    <row r="32" spans="1:11" x14ac:dyDescent="0.35">
      <c r="A32" s="56" t="s">
        <v>31</v>
      </c>
      <c r="B32" s="40"/>
      <c r="C32" s="41"/>
      <c r="D32" s="2"/>
    </row>
    <row r="33" spans="1:13" x14ac:dyDescent="0.35">
      <c r="A33" s="42" t="s">
        <v>8</v>
      </c>
      <c r="B33" s="43"/>
      <c r="C33" s="44">
        <f>B6*$B$9</f>
        <v>4223907.4940065704</v>
      </c>
      <c r="H33" s="71"/>
      <c r="I33" s="71"/>
      <c r="J33" s="71"/>
      <c r="K33" s="71"/>
      <c r="L33" s="30"/>
      <c r="M33" s="30"/>
    </row>
    <row r="34" spans="1:13" ht="17.5" x14ac:dyDescent="0.35">
      <c r="A34" s="42" t="s">
        <v>39</v>
      </c>
      <c r="B34" s="45"/>
      <c r="C34" s="46"/>
      <c r="H34" s="65"/>
      <c r="I34" s="66"/>
      <c r="J34" s="66"/>
      <c r="K34" s="66"/>
      <c r="L34" s="30"/>
      <c r="M34" s="30"/>
    </row>
    <row r="35" spans="1:13" ht="17.5" x14ac:dyDescent="0.35">
      <c r="A35" s="42" t="s">
        <v>44</v>
      </c>
      <c r="B35" s="45"/>
      <c r="C35" s="47">
        <f>C26*73%</f>
        <v>0.40880000000000005</v>
      </c>
      <c r="D35" t="s">
        <v>49</v>
      </c>
      <c r="H35" s="67"/>
      <c r="I35" s="68"/>
      <c r="J35" s="68"/>
      <c r="K35" s="68"/>
      <c r="L35" s="30"/>
      <c r="M35" s="30"/>
    </row>
    <row r="36" spans="1:13" ht="17.5" x14ac:dyDescent="0.35">
      <c r="A36" s="42" t="s">
        <v>41</v>
      </c>
      <c r="B36" s="43"/>
      <c r="C36" s="44">
        <f>C35*B6*B8</f>
        <v>24864960.723118361</v>
      </c>
      <c r="H36" s="67"/>
      <c r="I36" s="68"/>
      <c r="J36" s="68"/>
      <c r="K36" s="68"/>
      <c r="L36" s="30"/>
      <c r="M36" s="30"/>
    </row>
    <row r="37" spans="1:13" s="4" customFormat="1" ht="17.5" x14ac:dyDescent="0.35">
      <c r="A37" s="42" t="s">
        <v>40</v>
      </c>
      <c r="B37" s="48"/>
      <c r="C37" s="44">
        <f>C36+C33</f>
        <v>29088868.217124932</v>
      </c>
      <c r="D37"/>
      <c r="E37"/>
      <c r="H37" s="67"/>
      <c r="I37" s="68"/>
      <c r="J37" s="68"/>
      <c r="K37" s="68"/>
      <c r="L37" s="69"/>
      <c r="M37" s="69"/>
    </row>
    <row r="38" spans="1:13" ht="17.5" x14ac:dyDescent="0.35">
      <c r="A38" s="57" t="s">
        <v>22</v>
      </c>
      <c r="B38" s="50"/>
      <c r="C38" s="58">
        <f>C25-C37</f>
        <v>4972721.8145440668</v>
      </c>
      <c r="D38" s="39"/>
      <c r="H38" s="67"/>
      <c r="I38" s="68"/>
      <c r="J38" s="68"/>
      <c r="K38" s="68"/>
      <c r="L38" s="30"/>
      <c r="M38" s="30"/>
    </row>
    <row r="39" spans="1:13" ht="18" thickBot="1" x14ac:dyDescent="0.4">
      <c r="A39" s="51" t="s">
        <v>46</v>
      </c>
      <c r="B39" s="52"/>
      <c r="C39" s="55">
        <f>C38/C25</f>
        <v>0.14599206349206376</v>
      </c>
      <c r="H39" s="67"/>
      <c r="I39" s="70"/>
      <c r="J39" s="70"/>
      <c r="K39" s="70"/>
      <c r="L39" s="30"/>
      <c r="M39" s="30"/>
    </row>
    <row r="40" spans="1:13" ht="15" thickBot="1" x14ac:dyDescent="0.4">
      <c r="A40" s="53"/>
      <c r="B40" s="49"/>
      <c r="C40" s="54"/>
      <c r="H40" s="30"/>
      <c r="I40" s="30"/>
      <c r="J40" s="30"/>
      <c r="K40" s="30"/>
      <c r="L40" s="30"/>
      <c r="M40" s="30"/>
    </row>
    <row r="41" spans="1:13" x14ac:dyDescent="0.35">
      <c r="A41" s="56" t="s">
        <v>32</v>
      </c>
      <c r="B41" s="40"/>
      <c r="C41" s="41"/>
      <c r="E41" s="4"/>
    </row>
    <row r="42" spans="1:13" x14ac:dyDescent="0.35">
      <c r="A42" s="42" t="s">
        <v>9</v>
      </c>
      <c r="B42" s="43"/>
      <c r="C42" s="44">
        <f>(SUM(G16:G17))*B9</f>
        <v>861593.07091676304</v>
      </c>
    </row>
    <row r="43" spans="1:13" x14ac:dyDescent="0.35">
      <c r="A43" s="42" t="s">
        <v>38</v>
      </c>
      <c r="B43" s="43"/>
      <c r="C43" s="47">
        <f>K21</f>
        <v>0.28855721393034822</v>
      </c>
      <c r="D43" t="s">
        <v>42</v>
      </c>
    </row>
    <row r="44" spans="1:13" x14ac:dyDescent="0.35">
      <c r="A44" s="42" t="s">
        <v>41</v>
      </c>
      <c r="B44" s="45"/>
      <c r="C44" s="44">
        <f>B8*I16</f>
        <v>17551281.288528793</v>
      </c>
      <c r="D44" s="4"/>
    </row>
    <row r="45" spans="1:13" s="3" customFormat="1" x14ac:dyDescent="0.35">
      <c r="A45" s="42" t="s">
        <v>40</v>
      </c>
      <c r="B45" s="45"/>
      <c r="C45" s="44">
        <f>C44+C42</f>
        <v>18412874.359445557</v>
      </c>
      <c r="D45"/>
      <c r="E45"/>
    </row>
    <row r="46" spans="1:13" x14ac:dyDescent="0.35">
      <c r="A46" s="42" t="s">
        <v>22</v>
      </c>
      <c r="B46" s="43"/>
      <c r="C46" s="44">
        <f>C25-C45</f>
        <v>15648715.672223441</v>
      </c>
      <c r="D46" s="39"/>
    </row>
    <row r="47" spans="1:13" ht="15" thickBot="1" x14ac:dyDescent="0.4">
      <c r="A47" s="62" t="s">
        <v>46</v>
      </c>
      <c r="B47" s="63"/>
      <c r="C47" s="55">
        <f>C46/C25</f>
        <v>0.45942410961067703</v>
      </c>
    </row>
    <row r="48" spans="1:13" ht="58" x14ac:dyDescent="0.35">
      <c r="A48" s="5" t="s">
        <v>47</v>
      </c>
    </row>
    <row r="49" spans="4:5" x14ac:dyDescent="0.35">
      <c r="E49" s="3"/>
    </row>
    <row r="51" spans="4:5" x14ac:dyDescent="0.35">
      <c r="D51" s="3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83C54-AA01-49B6-81FB-9BA4B5AC0A44}">
  <dimension ref="A1"/>
  <sheetViews>
    <sheetView workbookViewId="0">
      <selection activeCell="G16" sqref="G16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Shrivastava</dc:creator>
  <cp:lastModifiedBy>Cara Shrivastava</cp:lastModifiedBy>
  <cp:lastPrinted>2020-09-08T19:51:20Z</cp:lastPrinted>
  <dcterms:created xsi:type="dcterms:W3CDTF">2020-09-01T12:09:43Z</dcterms:created>
  <dcterms:modified xsi:type="dcterms:W3CDTF">2020-09-08T20:21:10Z</dcterms:modified>
</cp:coreProperties>
</file>