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e7f47660652521/Desktop/Springboard/"/>
    </mc:Choice>
  </mc:AlternateContent>
  <xr:revisionPtr revIDLastSave="0" documentId="8_{EF41E465-63EA-474A-A4DA-C24CB17D928B}" xr6:coauthVersionLast="45" xr6:coauthVersionMax="45" xr10:uidLastSave="{00000000-0000-0000-0000-000000000000}"/>
  <bookViews>
    <workbookView xWindow="-110" yWindow="-110" windowWidth="19420" windowHeight="10420" xr2:uid="{04CBA046-BA39-46BC-9975-1363C97721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F21" i="1"/>
  <c r="F20" i="1"/>
  <c r="C33" i="1"/>
  <c r="B25" i="1"/>
  <c r="C17" i="1" l="1"/>
  <c r="C23" i="1" l="1"/>
  <c r="J8" i="1"/>
  <c r="J7" i="1"/>
  <c r="H17" i="1" s="1"/>
  <c r="G16" i="1"/>
  <c r="F16" i="1"/>
  <c r="B8" i="1"/>
  <c r="G6" i="1"/>
  <c r="F6" i="1"/>
  <c r="B31" i="1"/>
  <c r="H5" i="1"/>
  <c r="H4" i="1"/>
  <c r="B33" i="1" s="1"/>
  <c r="B19" i="1"/>
  <c r="B4" i="1"/>
  <c r="B9" i="1" l="1"/>
  <c r="G26" i="1"/>
  <c r="H6" i="1"/>
  <c r="B17" i="1" s="1"/>
  <c r="B23" i="1" s="1"/>
  <c r="C26" i="1"/>
  <c r="C19" i="1"/>
  <c r="B34" i="1"/>
  <c r="G17" i="1"/>
  <c r="G18" i="1" s="1"/>
  <c r="F17" i="1"/>
  <c r="F18" i="1" s="1"/>
  <c r="B35" i="1" l="1"/>
  <c r="B26" i="1"/>
  <c r="B27" i="1" s="1"/>
  <c r="C31" i="1"/>
  <c r="F25" i="1"/>
  <c r="F29" i="1" s="1"/>
  <c r="G25" i="1"/>
  <c r="H25" i="1"/>
  <c r="C27" i="1"/>
  <c r="G27" i="1" s="1"/>
  <c r="C28" i="1" l="1"/>
  <c r="C34" i="1"/>
  <c r="C35" i="1" s="1"/>
  <c r="B28" i="1"/>
  <c r="B36" i="1"/>
  <c r="G28" i="1"/>
  <c r="H26" i="1"/>
  <c r="H27" i="1" l="1"/>
  <c r="H28" i="1" s="1"/>
  <c r="C36" i="1"/>
  <c r="G29" i="1"/>
  <c r="G30" i="1"/>
  <c r="H29" i="1" l="1"/>
  <c r="H30" i="1"/>
</calcChain>
</file>

<file path=xl/sharedStrings.xml><?xml version="1.0" encoding="utf-8"?>
<sst xmlns="http://schemas.openxmlformats.org/spreadsheetml/2006/main" count="60" uniqueCount="50">
  <si>
    <t>Participants readmitted</t>
  </si>
  <si>
    <t>Cost of average readmission</t>
  </si>
  <si>
    <t>number of admissions per year (per hospital)</t>
  </si>
  <si>
    <t>Positive readmission</t>
  </si>
  <si>
    <t>Negative readmission</t>
  </si>
  <si>
    <t>Positive predicted</t>
  </si>
  <si>
    <t>Negative Predicted</t>
  </si>
  <si>
    <t>XGBoost confusion matrix</t>
  </si>
  <si>
    <t>Total</t>
  </si>
  <si>
    <t>total</t>
  </si>
  <si>
    <t>Intervention cost for ALL patients (no machine learning model used)</t>
  </si>
  <si>
    <t>Intervention cost for patients who are predicted positive</t>
  </si>
  <si>
    <t>If we assumed above matrix worked for our 'average hospital' data:</t>
  </si>
  <si>
    <t>Based on test data, number of admissions in an average hospital that are readmissions</t>
  </si>
  <si>
    <t>number of test participants hospitalized</t>
  </si>
  <si>
    <t>number of test participants readmitted</t>
  </si>
  <si>
    <t>% not readmitted</t>
  </si>
  <si>
    <t>% readnitted</t>
  </si>
  <si>
    <t>Sample Data</t>
  </si>
  <si>
    <t>admissions to US hospitals in 2018</t>
  </si>
  <si>
    <t>number of US community hospitals</t>
  </si>
  <si>
    <t>Total number of participants/patients</t>
  </si>
  <si>
    <t>Cost of all readmissions (if no intervention)</t>
  </si>
  <si>
    <t>Option 1: Do nothing</t>
  </si>
  <si>
    <t>Option 2: Intervention for all participants (no machine learning model used)</t>
  </si>
  <si>
    <t>Option 3: Intervention only with patients predicted positive by Machine Learning model</t>
  </si>
  <si>
    <t>Potential Savings from Option 1</t>
  </si>
  <si>
    <t>Option 1</t>
  </si>
  <si>
    <t>Option 2</t>
  </si>
  <si>
    <t>Option 3</t>
  </si>
  <si>
    <t>Savings</t>
  </si>
  <si>
    <t>Intervention Cost</t>
  </si>
  <si>
    <t>Average % Savings</t>
  </si>
  <si>
    <t>Cost of readmissions</t>
  </si>
  <si>
    <t>Updated Readmissions Cost</t>
  </si>
  <si>
    <t>ROI (Savings/Intervention Cost)</t>
  </si>
  <si>
    <t>Assume this will help 25-40% reduction in readmissions (will average to 33%):</t>
  </si>
  <si>
    <t xml:space="preserve">Total savings </t>
  </si>
  <si>
    <t>Assume this will help 25-40% reduction in readmissions (average to 33%):</t>
  </si>
  <si>
    <t>Cost for intervention (per patient)</t>
  </si>
  <si>
    <t>Percent savings</t>
  </si>
  <si>
    <t>By employing the ML model to patient data, the average hospital in the US could save $6.2M/year from reduced readmissions. With further refinement of the model, it is very likely that the actual savings would be even greater.</t>
  </si>
  <si>
    <t>Average Hospital</t>
  </si>
  <si>
    <t># of readmissions if 33% reduction from intervention</t>
  </si>
  <si>
    <t xml:space="preserve">   Updated Readmission Cost (readmissions cost +intervention)</t>
  </si>
  <si>
    <t xml:space="preserve">    Updated Readmission Cost(readmissions cost +intervention)</t>
  </si>
  <si>
    <t>Summary</t>
  </si>
  <si>
    <t>Assumptions:</t>
  </si>
  <si>
    <t>Number of readmissions - option 3</t>
  </si>
  <si>
    <t>Number of readmissions - 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</si>
</sst>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7" xfId="0" applyFont="1" applyBorder="1"/>
    <xf numFmtId="0" fontId="1" fillId="0" borderId="11" xfId="0" applyFont="1" applyBorder="1"/>
    <xf numFmtId="0" fontId="0" fillId="3" borderId="1" xfId="0" applyFill="1" applyBorder="1"/>
    <xf numFmtId="3" fontId="0" fillId="3" borderId="2" xfId="0" applyNumberFormat="1" applyFill="1" applyBorder="1"/>
    <xf numFmtId="0" fontId="0" fillId="3" borderId="3" xfId="0" applyFill="1" applyBorder="1"/>
    <xf numFmtId="3" fontId="0" fillId="3" borderId="4" xfId="0" applyNumberFormat="1" applyFill="1" applyBorder="1"/>
    <xf numFmtId="0" fontId="0" fillId="3" borderId="5" xfId="0" applyFill="1" applyBorder="1"/>
    <xf numFmtId="3" fontId="0" fillId="3" borderId="6" xfId="0" applyNumberFormat="1" applyFill="1" applyBorder="1"/>
    <xf numFmtId="0" fontId="0" fillId="3" borderId="4" xfId="0" applyFill="1" applyBorder="1"/>
    <xf numFmtId="10" fontId="0" fillId="3" borderId="4" xfId="0" applyNumberFormat="1" applyFill="1" applyBorder="1"/>
    <xf numFmtId="6" fontId="0" fillId="0" borderId="2" xfId="0" applyNumberFormat="1" applyBorder="1"/>
    <xf numFmtId="6" fontId="0" fillId="0" borderId="6" xfId="0" applyNumberFormat="1" applyBorder="1"/>
    <xf numFmtId="0" fontId="0" fillId="3" borderId="9" xfId="0" applyFont="1" applyFill="1" applyBorder="1" applyAlignment="1">
      <alignment horizontal="center"/>
    </xf>
    <xf numFmtId="0" fontId="0" fillId="3" borderId="1" xfId="0" applyFont="1" applyFill="1" applyBorder="1"/>
    <xf numFmtId="6" fontId="0" fillId="3" borderId="9" xfId="0" applyNumberFormat="1" applyFont="1" applyFill="1" applyBorder="1"/>
    <xf numFmtId="6" fontId="0" fillId="3" borderId="14" xfId="0" applyNumberFormat="1" applyFont="1" applyFill="1" applyBorder="1"/>
    <xf numFmtId="6" fontId="0" fillId="3" borderId="3" xfId="0" applyNumberFormat="1" applyFont="1" applyFill="1" applyBorder="1"/>
    <xf numFmtId="6" fontId="4" fillId="3" borderId="9" xfId="0" applyNumberFormat="1" applyFont="1" applyFill="1" applyBorder="1"/>
    <xf numFmtId="0" fontId="0" fillId="3" borderId="9" xfId="0" applyFont="1" applyFill="1" applyBorder="1"/>
    <xf numFmtId="9" fontId="6" fillId="3" borderId="9" xfId="0" applyNumberFormat="1" applyFont="1" applyFill="1" applyBorder="1"/>
    <xf numFmtId="164" fontId="6" fillId="3" borderId="14" xfId="0" applyNumberFormat="1" applyFont="1" applyFill="1" applyBorder="1" applyAlignment="1">
      <alignment horizontal="right"/>
    </xf>
    <xf numFmtId="0" fontId="0" fillId="3" borderId="5" xfId="0" applyFont="1" applyFill="1" applyBorder="1"/>
    <xf numFmtId="6" fontId="6" fillId="3" borderId="14" xfId="0" applyNumberFormat="1" applyFont="1" applyFill="1" applyBorder="1" applyAlignment="1">
      <alignment horizontal="right"/>
    </xf>
    <xf numFmtId="0" fontId="1" fillId="5" borderId="15" xfId="0" applyFont="1" applyFill="1" applyBorder="1" applyAlignment="1">
      <alignment horizontal="center"/>
    </xf>
    <xf numFmtId="0" fontId="0" fillId="5" borderId="16" xfId="0" applyFill="1" applyBorder="1"/>
    <xf numFmtId="6" fontId="1" fillId="5" borderId="17" xfId="0" applyNumberFormat="1" applyFont="1" applyFill="1" applyBorder="1"/>
    <xf numFmtId="6" fontId="1" fillId="5" borderId="18" xfId="0" applyNumberFormat="1" applyFont="1" applyFill="1" applyBorder="1"/>
    <xf numFmtId="6" fontId="1" fillId="5" borderId="19" xfId="0" applyNumberFormat="1" applyFont="1" applyFill="1" applyBorder="1"/>
    <xf numFmtId="6" fontId="4" fillId="5" borderId="17" xfId="0" applyNumberFormat="1" applyFont="1" applyFill="1" applyBorder="1"/>
    <xf numFmtId="1" fontId="0" fillId="5" borderId="17" xfId="0" applyNumberFormat="1" applyFill="1" applyBorder="1"/>
    <xf numFmtId="6" fontId="0" fillId="5" borderId="17" xfId="0" applyNumberFormat="1" applyFill="1" applyBorder="1"/>
    <xf numFmtId="9" fontId="5" fillId="5" borderId="17" xfId="0" applyNumberFormat="1" applyFont="1" applyFill="1" applyBorder="1"/>
    <xf numFmtId="164" fontId="5" fillId="5" borderId="18" xfId="0" applyNumberFormat="1" applyFont="1" applyFill="1" applyBorder="1" applyAlignment="1">
      <alignment horizontal="right"/>
    </xf>
    <xf numFmtId="0" fontId="0" fillId="5" borderId="20" xfId="0" applyFill="1" applyBorder="1"/>
    <xf numFmtId="6" fontId="5" fillId="5" borderId="18" xfId="0" applyNumberFormat="1" applyFont="1" applyFill="1" applyBorder="1" applyAlignment="1">
      <alignment horizontal="right"/>
    </xf>
    <xf numFmtId="0" fontId="0" fillId="3" borderId="12" xfId="0" applyFont="1" applyFill="1" applyBorder="1"/>
    <xf numFmtId="0" fontId="0" fillId="5" borderId="13" xfId="0" applyFill="1" applyBorder="1"/>
    <xf numFmtId="0" fontId="1" fillId="0" borderId="21" xfId="0" applyFont="1" applyBorder="1"/>
    <xf numFmtId="0" fontId="4" fillId="0" borderId="21" xfId="0" applyFont="1" applyBorder="1"/>
    <xf numFmtId="0" fontId="0" fillId="0" borderId="21" xfId="0" applyBorder="1"/>
    <xf numFmtId="0" fontId="5" fillId="0" borderId="21" xfId="0" applyFont="1" applyBorder="1"/>
    <xf numFmtId="0" fontId="5" fillId="0" borderId="22" xfId="0" applyFont="1" applyBorder="1" applyAlignment="1">
      <alignment horizontal="left"/>
    </xf>
    <xf numFmtId="0" fontId="0" fillId="0" borderId="23" xfId="0" applyBorder="1"/>
    <xf numFmtId="0" fontId="0" fillId="3" borderId="10" xfId="0" applyFont="1" applyFill="1" applyBorder="1"/>
    <xf numFmtId="0" fontId="0" fillId="5" borderId="24" xfId="0" applyFill="1" applyBorder="1"/>
    <xf numFmtId="0" fontId="0" fillId="0" borderId="0" xfId="0" applyFont="1"/>
    <xf numFmtId="0" fontId="0" fillId="0" borderId="8" xfId="0" applyBorder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6" fontId="0" fillId="6" borderId="8" xfId="0" applyNumberFormat="1" applyFill="1" applyBorder="1" applyAlignment="1">
      <alignment horizontal="center"/>
    </xf>
    <xf numFmtId="9" fontId="0" fillId="6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6" fontId="0" fillId="5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0" fontId="0" fillId="4" borderId="0" xfId="0" applyFill="1" applyBorder="1"/>
    <xf numFmtId="3" fontId="0" fillId="4" borderId="0" xfId="0" applyNumberFormat="1" applyFill="1" applyBorder="1"/>
    <xf numFmtId="0" fontId="1" fillId="4" borderId="0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AE8D-5676-4DCC-B0E3-942876913C2E}">
  <dimension ref="A2:K41"/>
  <sheetViews>
    <sheetView tabSelected="1" topLeftCell="A4" zoomScale="60" zoomScaleNormal="60" workbookViewId="0">
      <selection activeCell="F15" sqref="F15"/>
    </sheetView>
  </sheetViews>
  <sheetFormatPr defaultRowHeight="14.5" x14ac:dyDescent="0.35"/>
  <cols>
    <col min="1" max="1" width="83.7265625" bestFit="1" customWidth="1"/>
    <col min="2" max="2" width="14" bestFit="1" customWidth="1"/>
    <col min="3" max="3" width="22.6328125" bestFit="1" customWidth="1"/>
    <col min="4" max="4" width="14.54296875" customWidth="1"/>
    <col min="5" max="5" width="35.1796875" customWidth="1"/>
    <col min="6" max="6" width="15.6328125" bestFit="1" customWidth="1"/>
    <col min="7" max="7" width="16.36328125" bestFit="1" customWidth="1"/>
    <col min="8" max="8" width="15.08984375" customWidth="1"/>
  </cols>
  <sheetData>
    <row r="2" spans="1:11" x14ac:dyDescent="0.35">
      <c r="A2" s="10" t="s">
        <v>19</v>
      </c>
      <c r="B2" s="11">
        <v>34251159</v>
      </c>
      <c r="F2" t="s">
        <v>7</v>
      </c>
    </row>
    <row r="3" spans="1:11" x14ac:dyDescent="0.35">
      <c r="A3" s="12" t="s">
        <v>20</v>
      </c>
      <c r="B3" s="13">
        <v>5198</v>
      </c>
      <c r="F3" t="s">
        <v>5</v>
      </c>
      <c r="G3" t="s">
        <v>6</v>
      </c>
      <c r="H3" t="s">
        <v>8</v>
      </c>
    </row>
    <row r="4" spans="1:11" x14ac:dyDescent="0.35">
      <c r="A4" s="12" t="s">
        <v>2</v>
      </c>
      <c r="B4" s="13">
        <f>B2/B3</f>
        <v>6589.2956906502504</v>
      </c>
      <c r="E4" t="s">
        <v>3</v>
      </c>
      <c r="F4">
        <v>20</v>
      </c>
      <c r="G4">
        <v>38</v>
      </c>
      <c r="H4">
        <f>SUM(F4:G4)</f>
        <v>58</v>
      </c>
    </row>
    <row r="5" spans="1:11" x14ac:dyDescent="0.35">
      <c r="A5" s="12"/>
      <c r="B5" s="16"/>
      <c r="E5" t="s">
        <v>4</v>
      </c>
      <c r="F5">
        <v>21</v>
      </c>
      <c r="G5">
        <v>122</v>
      </c>
      <c r="H5">
        <f>SUM(F5:G5)</f>
        <v>143</v>
      </c>
    </row>
    <row r="6" spans="1:11" x14ac:dyDescent="0.35">
      <c r="A6" s="12" t="s">
        <v>14</v>
      </c>
      <c r="B6" s="16">
        <v>201</v>
      </c>
      <c r="E6" t="s">
        <v>9</v>
      </c>
      <c r="F6">
        <f>SUM(F4:F5)</f>
        <v>41</v>
      </c>
      <c r="G6">
        <f>SUM(G4:G5)</f>
        <v>160</v>
      </c>
      <c r="H6">
        <f>SUM(H4:H5)</f>
        <v>201</v>
      </c>
    </row>
    <row r="7" spans="1:11" x14ac:dyDescent="0.35">
      <c r="A7" s="12" t="s">
        <v>15</v>
      </c>
      <c r="B7" s="16">
        <v>58</v>
      </c>
      <c r="J7">
        <f>143/201</f>
        <v>0.71144278606965172</v>
      </c>
      <c r="K7" t="s">
        <v>16</v>
      </c>
    </row>
    <row r="8" spans="1:11" x14ac:dyDescent="0.35">
      <c r="A8" s="12" t="s">
        <v>0</v>
      </c>
      <c r="B8" s="17">
        <f>B7/B6</f>
        <v>0.28855721393034828</v>
      </c>
      <c r="J8">
        <f>58/201</f>
        <v>0.28855721393034828</v>
      </c>
      <c r="K8" t="s">
        <v>17</v>
      </c>
    </row>
    <row r="9" spans="1:11" x14ac:dyDescent="0.35">
      <c r="A9" s="14" t="s">
        <v>13</v>
      </c>
      <c r="B9" s="15">
        <f>B8*B4</f>
        <v>1901.3888062572862</v>
      </c>
    </row>
    <row r="10" spans="1:11" x14ac:dyDescent="0.35">
      <c r="A10" s="64"/>
      <c r="B10" s="65"/>
    </row>
    <row r="11" spans="1:11" x14ac:dyDescent="0.35">
      <c r="A11" s="66" t="s">
        <v>47</v>
      </c>
      <c r="B11" s="67"/>
    </row>
    <row r="12" spans="1:11" x14ac:dyDescent="0.35">
      <c r="A12" s="5" t="s">
        <v>1</v>
      </c>
      <c r="B12" s="18">
        <v>12000</v>
      </c>
      <c r="E12" t="s">
        <v>12</v>
      </c>
    </row>
    <row r="13" spans="1:11" x14ac:dyDescent="0.35">
      <c r="A13" s="6" t="s">
        <v>39</v>
      </c>
      <c r="B13" s="19">
        <v>1000</v>
      </c>
    </row>
    <row r="14" spans="1:11" x14ac:dyDescent="0.35">
      <c r="F14" t="s">
        <v>7</v>
      </c>
    </row>
    <row r="15" spans="1:11" ht="15" thickBot="1" x14ac:dyDescent="0.4">
      <c r="F15" t="s">
        <v>5</v>
      </c>
      <c r="G15" t="s">
        <v>6</v>
      </c>
      <c r="H15" t="s">
        <v>8</v>
      </c>
    </row>
    <row r="16" spans="1:11" x14ac:dyDescent="0.35">
      <c r="B16" s="20" t="s">
        <v>18</v>
      </c>
      <c r="C16" s="31" t="s">
        <v>42</v>
      </c>
      <c r="E16" t="s">
        <v>3</v>
      </c>
      <c r="F16" s="1">
        <f>(20/58)*H16</f>
        <v>655.51724137931035</v>
      </c>
      <c r="G16" s="1">
        <f>H16*(38/58)</f>
        <v>1245.4827586206895</v>
      </c>
      <c r="H16">
        <v>1901</v>
      </c>
    </row>
    <row r="17" spans="1:8" ht="15" thickBot="1" x14ac:dyDescent="0.4">
      <c r="A17" s="53" t="s">
        <v>21</v>
      </c>
      <c r="B17" s="21">
        <f>H6</f>
        <v>201</v>
      </c>
      <c r="C17" s="32">
        <f>H18</f>
        <v>6589</v>
      </c>
      <c r="E17" t="s">
        <v>4</v>
      </c>
      <c r="F17" s="1">
        <f>H17*F5/H5</f>
        <v>688.40298507462683</v>
      </c>
      <c r="G17" s="1">
        <f>H17*(122/143)</f>
        <v>3999.2935323383085</v>
      </c>
      <c r="H17" s="1">
        <f>J7*H18</f>
        <v>4687.6965174129355</v>
      </c>
    </row>
    <row r="18" spans="1:8" x14ac:dyDescent="0.35">
      <c r="A18" s="9" t="s">
        <v>23</v>
      </c>
      <c r="B18" s="43"/>
      <c r="C18" s="44"/>
      <c r="E18" t="s">
        <v>9</v>
      </c>
      <c r="F18" s="1">
        <f>SUM(F16:F17)</f>
        <v>1343.9202264539372</v>
      </c>
      <c r="G18" s="1">
        <f>SUM(G16:G17)</f>
        <v>5244.7762909589983</v>
      </c>
      <c r="H18">
        <v>6589</v>
      </c>
    </row>
    <row r="19" spans="1:8" x14ac:dyDescent="0.35">
      <c r="A19" s="45" t="s">
        <v>22</v>
      </c>
      <c r="B19" s="22">
        <f>B12*SUM(F4:G4)</f>
        <v>696000</v>
      </c>
      <c r="C19" s="33">
        <f>B12*SUM(F16:G16)</f>
        <v>22812000</v>
      </c>
    </row>
    <row r="20" spans="1:8" ht="15" thickBot="1" x14ac:dyDescent="0.4">
      <c r="A20" s="8" t="s">
        <v>26</v>
      </c>
      <c r="B20" s="23">
        <v>0</v>
      </c>
      <c r="C20" s="34">
        <v>0</v>
      </c>
      <c r="E20" t="s">
        <v>48</v>
      </c>
      <c r="F20">
        <f>(F16*0.73) +1245</f>
        <v>1723.5275862068966</v>
      </c>
    </row>
    <row r="21" spans="1:8" ht="15" thickBot="1" x14ac:dyDescent="0.4">
      <c r="A21" s="2"/>
      <c r="B21" s="24"/>
      <c r="C21" s="35"/>
      <c r="E21" t="s">
        <v>49</v>
      </c>
      <c r="F21">
        <f>0.73*H16</f>
        <v>1387.73</v>
      </c>
    </row>
    <row r="22" spans="1:8" s="2" customFormat="1" x14ac:dyDescent="0.35">
      <c r="A22" s="9" t="s">
        <v>24</v>
      </c>
      <c r="B22" s="43"/>
      <c r="C22" s="44"/>
    </row>
    <row r="23" spans="1:8" s="2" customFormat="1" x14ac:dyDescent="0.35">
      <c r="A23" s="46" t="s">
        <v>10</v>
      </c>
      <c r="B23" s="25">
        <f>B17*$B$13</f>
        <v>201000</v>
      </c>
      <c r="C23" s="36">
        <f>C17*$B$13</f>
        <v>6589000</v>
      </c>
      <c r="E23" s="2" t="s">
        <v>46</v>
      </c>
    </row>
    <row r="24" spans="1:8" s="2" customFormat="1" x14ac:dyDescent="0.35">
      <c r="A24" s="50" t="s">
        <v>36</v>
      </c>
      <c r="B24" s="51"/>
      <c r="C24" s="52"/>
      <c r="E24" s="54"/>
      <c r="F24" s="56" t="s">
        <v>27</v>
      </c>
      <c r="G24" s="58" t="s">
        <v>28</v>
      </c>
      <c r="H24" s="61" t="s">
        <v>29</v>
      </c>
    </row>
    <row r="25" spans="1:8" x14ac:dyDescent="0.35">
      <c r="A25" s="47" t="s">
        <v>43</v>
      </c>
      <c r="B25" s="26">
        <f>0.75*H4</f>
        <v>43.5</v>
      </c>
      <c r="C25" s="37">
        <f>F21</f>
        <v>1387.73</v>
      </c>
      <c r="E25" s="54" t="s">
        <v>33</v>
      </c>
      <c r="F25" s="57">
        <f>$C$19</f>
        <v>22812000</v>
      </c>
      <c r="G25" s="59">
        <f>$C$19</f>
        <v>22812000</v>
      </c>
      <c r="H25" s="62">
        <f>$C$19</f>
        <v>22812000</v>
      </c>
    </row>
    <row r="26" spans="1:8" x14ac:dyDescent="0.35">
      <c r="A26" s="47" t="s">
        <v>45</v>
      </c>
      <c r="B26" s="22">
        <f>B25*12000+B23</f>
        <v>723000</v>
      </c>
      <c r="C26" s="38">
        <f>C25*12000+C23</f>
        <v>23241760</v>
      </c>
      <c r="E26" s="54" t="s">
        <v>31</v>
      </c>
      <c r="F26" s="57">
        <v>0</v>
      </c>
      <c r="G26" s="59">
        <f>C23</f>
        <v>6589000</v>
      </c>
      <c r="H26" s="62">
        <f>C31</f>
        <v>1343920.2264539371</v>
      </c>
    </row>
    <row r="27" spans="1:8" x14ac:dyDescent="0.35">
      <c r="A27" s="48" t="s">
        <v>40</v>
      </c>
      <c r="B27" s="27">
        <f>1-B26/B19</f>
        <v>-3.8793103448275801E-2</v>
      </c>
      <c r="C27" s="39">
        <f>1-C26/C19</f>
        <v>-1.883920743468348E-2</v>
      </c>
      <c r="E27" s="54" t="s">
        <v>32</v>
      </c>
      <c r="F27" s="57">
        <v>0</v>
      </c>
      <c r="G27" s="60">
        <f>C27</f>
        <v>-1.883920743468348E-2</v>
      </c>
      <c r="H27" s="63">
        <f>C35</f>
        <v>3.4444535291219713E-2</v>
      </c>
    </row>
    <row r="28" spans="1:8" ht="15" thickBot="1" x14ac:dyDescent="0.4">
      <c r="A28" s="49" t="s">
        <v>37</v>
      </c>
      <c r="B28" s="28">
        <f>B27*B19</f>
        <v>-26999.999999999956</v>
      </c>
      <c r="C28" s="40">
        <f>C27*C19</f>
        <v>-429759.99999999953</v>
      </c>
      <c r="E28" s="54" t="s">
        <v>30</v>
      </c>
      <c r="F28" s="57">
        <v>0</v>
      </c>
      <c r="G28" s="59">
        <f>G27*G25</f>
        <v>-429759.99999999953</v>
      </c>
      <c r="H28" s="62">
        <f>H27*H25</f>
        <v>785748.73906330415</v>
      </c>
    </row>
    <row r="29" spans="1:8" ht="15" thickBot="1" x14ac:dyDescent="0.4">
      <c r="B29" s="29"/>
      <c r="C29" s="41"/>
      <c r="E29" s="54" t="s">
        <v>34</v>
      </c>
      <c r="F29" s="57">
        <f>F25</f>
        <v>22812000</v>
      </c>
      <c r="G29" s="59">
        <f>G25-G28</f>
        <v>23241760</v>
      </c>
      <c r="H29" s="62">
        <f>H25-H28</f>
        <v>22026251.260936696</v>
      </c>
    </row>
    <row r="30" spans="1:8" x14ac:dyDescent="0.35">
      <c r="A30" s="9" t="s">
        <v>25</v>
      </c>
      <c r="B30" s="43"/>
      <c r="C30" s="44"/>
      <c r="E30" s="55" t="s">
        <v>35</v>
      </c>
      <c r="F30" s="56">
        <v>0</v>
      </c>
      <c r="G30" s="60">
        <f>G28/G26</f>
        <v>-6.5223857945059874E-2</v>
      </c>
      <c r="H30" s="63">
        <f>H28/H26</f>
        <v>0.58466918169434645</v>
      </c>
    </row>
    <row r="31" spans="1:8" x14ac:dyDescent="0.35">
      <c r="A31" s="46" t="s">
        <v>11</v>
      </c>
      <c r="B31" s="25">
        <f>(SUM(F4:F5))*B13</f>
        <v>41000</v>
      </c>
      <c r="C31" s="36">
        <f>(SUM(F16:F17))*B13</f>
        <v>1343920.2264539371</v>
      </c>
    </row>
    <row r="32" spans="1:8" x14ac:dyDescent="0.35">
      <c r="A32" s="50" t="s">
        <v>38</v>
      </c>
      <c r="B32" s="51"/>
      <c r="C32" s="52"/>
    </row>
    <row r="33" spans="1:3" x14ac:dyDescent="0.35">
      <c r="A33" s="47" t="s">
        <v>43</v>
      </c>
      <c r="B33" s="26">
        <f>B25</f>
        <v>43.5</v>
      </c>
      <c r="C33" s="37">
        <f>F20</f>
        <v>1723.5275862068966</v>
      </c>
    </row>
    <row r="34" spans="1:3" s="4" customFormat="1" x14ac:dyDescent="0.35">
      <c r="A34" s="47" t="s">
        <v>44</v>
      </c>
      <c r="B34" s="22">
        <f>B33*12000+B31</f>
        <v>563000</v>
      </c>
      <c r="C34" s="38">
        <f>C33*12000+C31</f>
        <v>22026251.260936696</v>
      </c>
    </row>
    <row r="35" spans="1:3" x14ac:dyDescent="0.35">
      <c r="A35" s="48" t="s">
        <v>40</v>
      </c>
      <c r="B35" s="27">
        <f>1-B34/B19</f>
        <v>0.19109195402298851</v>
      </c>
      <c r="C35" s="39">
        <f>1-C34/C19</f>
        <v>3.4444535291219713E-2</v>
      </c>
    </row>
    <row r="36" spans="1:3" ht="15" thickBot="1" x14ac:dyDescent="0.4">
      <c r="A36" s="49" t="s">
        <v>37</v>
      </c>
      <c r="B36" s="30">
        <f>B35*B19</f>
        <v>133000</v>
      </c>
      <c r="C36" s="42">
        <f>C35*C19</f>
        <v>785748.73906330415</v>
      </c>
    </row>
    <row r="37" spans="1:3" ht="43.5" x14ac:dyDescent="0.35">
      <c r="A37" s="7" t="s">
        <v>41</v>
      </c>
    </row>
    <row r="41" spans="1:3" s="3" customFormat="1" x14ac:dyDescent="0.35">
      <c r="A41"/>
      <c r="B41"/>
      <c r="C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3C54-AA01-49B6-81FB-9BA4B5AC0A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Shrivastava</dc:creator>
  <cp:lastModifiedBy>Cara Shrivastava</cp:lastModifiedBy>
  <dcterms:created xsi:type="dcterms:W3CDTF">2020-09-01T12:09:43Z</dcterms:created>
  <dcterms:modified xsi:type="dcterms:W3CDTF">2020-09-06T12:07:27Z</dcterms:modified>
</cp:coreProperties>
</file>