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ings Analysis" sheetId="1" r:id="rId4"/>
  </sheets>
  <definedNames/>
  <calcPr/>
</workbook>
</file>

<file path=xl/sharedStrings.xml><?xml version="1.0" encoding="utf-8"?>
<sst xmlns="http://schemas.openxmlformats.org/spreadsheetml/2006/main" count="71" uniqueCount="62">
  <si>
    <t>Appendix: Cost Savings Analysis</t>
  </si>
  <si>
    <t>Savings Analysis</t>
  </si>
  <si>
    <t>Option 1</t>
  </si>
  <si>
    <t>Option 2</t>
  </si>
  <si>
    <t>Cost of hospital stays</t>
  </si>
  <si>
    <t>Savings</t>
  </si>
  <si>
    <t>Hospice care costs</t>
  </si>
  <si>
    <t>Total Savings</t>
  </si>
  <si>
    <t>Percent Savings</t>
  </si>
  <si>
    <t>Inputs &amp; Assumptions</t>
  </si>
  <si>
    <t>Model data</t>
  </si>
  <si>
    <t>Admissions to US hospitals in 2018</t>
  </si>
  <si>
    <t>confusion matrix -logistic regression</t>
  </si>
  <si>
    <t>Number of admissions involving ICU stay - all hospitals</t>
  </si>
  <si>
    <t>pos predicted</t>
  </si>
  <si>
    <t>neg predicted</t>
  </si>
  <si>
    <t>Total</t>
  </si>
  <si>
    <t>Number of US community hospitals</t>
  </si>
  <si>
    <t>positive death</t>
  </si>
  <si>
    <t>Admissions per hospital per year</t>
  </si>
  <si>
    <t>negative death</t>
  </si>
  <si>
    <t>Percent of admissions involving ICU stay</t>
  </si>
  <si>
    <t>total</t>
  </si>
  <si>
    <t>Number of admissions involving ICU stay - average hospital</t>
  </si>
  <si>
    <t>Average length of ICU stay (days)</t>
  </si>
  <si>
    <t>Length of entire hospital stay that includes ICU stay</t>
  </si>
  <si>
    <t>Average number of patients on vent in ICU (30%)</t>
  </si>
  <si>
    <t>Average hospital data</t>
  </si>
  <si>
    <t>Number of patients not on vent in ICU (70%)</t>
  </si>
  <si>
    <t>confusion matrix - logistic regression</t>
  </si>
  <si>
    <t>Average number of days on vent in ICU 5.25 (average of 2.6-7.9 days)</t>
  </si>
  <si>
    <t>ICU+inpatient cost per patient - vent for 5 days, inpatient 10.25days</t>
  </si>
  <si>
    <t>ICU cost per patient - no vent 5 days, inpatient 10.25 days</t>
  </si>
  <si>
    <t>Average cost per stay</t>
  </si>
  <si>
    <t>Average cost for first day hospitalized</t>
  </si>
  <si>
    <t xml:space="preserve">Average total cost hospice </t>
  </si>
  <si>
    <t>Average # of hospital stays resulting in death</t>
  </si>
  <si>
    <t>Cost of hospital stays resulting in death</t>
  </si>
  <si>
    <t>Cost of Average ICU-included Hospital Stay</t>
  </si>
  <si>
    <t>vent (30% pts)</t>
  </si>
  <si>
    <t>no vent (70% pts)</t>
  </si>
  <si>
    <t>day 1</t>
  </si>
  <si>
    <t>Sample Data</t>
  </si>
  <si>
    <t>Average Hospital</t>
  </si>
  <si>
    <t>day 2</t>
  </si>
  <si>
    <t>Number of ICU stays resulting in death</t>
  </si>
  <si>
    <t>day 3</t>
  </si>
  <si>
    <t>Option 1: Do nothing</t>
  </si>
  <si>
    <t>day 4</t>
  </si>
  <si>
    <t>Cost of hospital stays (no ML)</t>
  </si>
  <si>
    <t>day 5</t>
  </si>
  <si>
    <t>Total Cost</t>
  </si>
  <si>
    <t>5.25 days inpatient</t>
  </si>
  <si>
    <t>Percent savings</t>
  </si>
  <si>
    <t>Option 2: NLP Model to predict deaths - estimate that 75% of flagged and are truly end of life are discharged to hospice care 24 hours after admission.</t>
  </si>
  <si>
    <t>Number of flagged patients at EOL discharged to hospice at 24 hrs</t>
  </si>
  <si>
    <t>Savings per flagged patient (average cost per stay-cost for first day)</t>
  </si>
  <si>
    <t>savings for all flagged patients</t>
  </si>
  <si>
    <t>hospice care average cost per patient</t>
  </si>
  <si>
    <t>total cost for hospice for all patients</t>
  </si>
  <si>
    <t>total savings less hospice care costs</t>
  </si>
  <si>
    <t>percent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</si>
</sst>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2">
    <font>
      <sz val="10.0"/>
      <color rgb="FF000000"/>
      <name val="Arial"/>
    </font>
    <font>
      <b/>
      <sz val="14.0"/>
      <color rgb="FF000000"/>
      <name val="Calibri"/>
    </font>
    <font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vertical="bottom"/>
    </xf>
    <xf borderId="5" fillId="2" fontId="6" numFmtId="0" xfId="0" applyAlignment="1" applyBorder="1" applyFill="1" applyFont="1">
      <alignment horizontal="center" vertical="bottom"/>
    </xf>
    <xf borderId="6" fillId="3" fontId="6" numFmtId="0" xfId="0" applyAlignment="1" applyBorder="1" applyFill="1" applyFont="1">
      <alignment horizontal="center" vertical="bottom"/>
    </xf>
    <xf borderId="4" fillId="0" fontId="7" numFmtId="0" xfId="0" applyAlignment="1" applyBorder="1" applyFont="1">
      <alignment horizontal="left" readingOrder="0" vertical="bottom"/>
    </xf>
    <xf borderId="5" fillId="2" fontId="7" numFmtId="164" xfId="0" applyAlignment="1" applyBorder="1" applyFont="1" applyNumberFormat="1">
      <alignment horizontal="center" vertical="bottom"/>
    </xf>
    <xf borderId="6" fillId="3" fontId="7" numFmtId="164" xfId="0" applyAlignment="1" applyBorder="1" applyFont="1" applyNumberFormat="1">
      <alignment horizontal="center" vertical="bottom"/>
    </xf>
    <xf borderId="5" fillId="2" fontId="7" numFmtId="164" xfId="0" applyAlignment="1" applyBorder="1" applyFont="1" applyNumberFormat="1">
      <alignment horizontal="center" readingOrder="0" vertical="bottom"/>
    </xf>
    <xf borderId="7" fillId="0" fontId="7" numFmtId="0" xfId="0" applyAlignment="1" applyBorder="1" applyFont="1">
      <alignment horizontal="left" readingOrder="0" vertical="bottom"/>
    </xf>
    <xf borderId="8" fillId="2" fontId="7" numFmtId="10" xfId="0" applyAlignment="1" applyBorder="1" applyFont="1" applyNumberFormat="1">
      <alignment horizontal="center" vertical="bottom"/>
    </xf>
    <xf borderId="9" fillId="3" fontId="7" numFmtId="10" xfId="0" applyAlignment="1" applyBorder="1" applyFont="1" applyNumberFormat="1">
      <alignment horizontal="center" vertical="bottom"/>
    </xf>
    <xf borderId="0" fillId="0" fontId="8" numFmtId="0" xfId="0" applyAlignment="1" applyFont="1">
      <alignment vertical="bottom"/>
    </xf>
    <xf borderId="10" fillId="4" fontId="8" numFmtId="0" xfId="0" applyAlignment="1" applyBorder="1" applyFill="1" applyFont="1">
      <alignment vertical="bottom"/>
    </xf>
    <xf borderId="10" fillId="4" fontId="2" numFmtId="0" xfId="0" applyAlignment="1" applyBorder="1" applyFont="1">
      <alignment vertical="bottom"/>
    </xf>
    <xf borderId="11" fillId="4" fontId="2" numFmtId="0" xfId="0" applyAlignment="1" applyBorder="1" applyFont="1">
      <alignment horizontal="center" readingOrder="0" vertical="bottom"/>
    </xf>
    <xf borderId="12" fillId="0" fontId="4" numFmtId="0" xfId="0" applyBorder="1" applyFont="1"/>
    <xf borderId="13" fillId="0" fontId="4" numFmtId="0" xfId="0" applyBorder="1" applyFont="1"/>
    <xf borderId="5" fillId="5" fontId="9" numFmtId="0" xfId="0" applyAlignment="1" applyBorder="1" applyFill="1" applyFont="1">
      <alignment vertical="bottom"/>
    </xf>
    <xf borderId="5" fillId="5" fontId="9" numFmtId="3" xfId="0" applyAlignment="1" applyBorder="1" applyFont="1" applyNumberFormat="1">
      <alignment horizontal="right" vertical="bottom"/>
    </xf>
    <xf borderId="11" fillId="4" fontId="9" numFmtId="0" xfId="0" applyAlignment="1" applyBorder="1" applyFont="1">
      <alignment horizontal="center" readingOrder="0" shrinkToFit="0" vertical="bottom" wrapText="0"/>
    </xf>
    <xf borderId="5" fillId="5" fontId="9" numFmtId="0" xfId="0" applyAlignment="1" applyBorder="1" applyFont="1">
      <alignment readingOrder="0" vertical="bottom"/>
    </xf>
    <xf borderId="5" fillId="6" fontId="2" numFmtId="0" xfId="0" applyAlignment="1" applyBorder="1" applyFill="1" applyFont="1">
      <alignment vertical="bottom"/>
    </xf>
    <xf borderId="5" fillId="6" fontId="9" numFmtId="0" xfId="0" applyAlignment="1" applyBorder="1" applyFont="1">
      <alignment readingOrder="0" vertical="bottom"/>
    </xf>
    <xf borderId="5" fillId="6" fontId="9" numFmtId="0" xfId="0" applyAlignment="1" applyBorder="1" applyFont="1">
      <alignment vertical="bottom"/>
    </xf>
    <xf borderId="5" fillId="6" fontId="9" numFmtId="0" xfId="0" applyAlignment="1" applyBorder="1" applyFont="1">
      <alignment horizontal="right" readingOrder="0" vertical="bottom"/>
    </xf>
    <xf borderId="5" fillId="6" fontId="9" numFmtId="0" xfId="0" applyAlignment="1" applyBorder="1" applyFont="1">
      <alignment horizontal="right" vertical="bottom"/>
    </xf>
    <xf borderId="14" fillId="5" fontId="9" numFmtId="0" xfId="0" applyAlignment="1" applyBorder="1" applyFont="1">
      <alignment readingOrder="0" vertical="bottom"/>
    </xf>
    <xf borderId="14" fillId="5" fontId="9" numFmtId="9" xfId="0" applyAlignment="1" applyBorder="1" applyFont="1" applyNumberFormat="1">
      <alignment horizontal="right" readingOrder="0" vertical="bottom"/>
    </xf>
    <xf borderId="5" fillId="5" fontId="9" numFmtId="1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5" fillId="5" fontId="9" numFmtId="0" xfId="0" applyAlignment="1" applyBorder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5" fillId="5" fontId="2" numFmtId="0" xfId="0" applyAlignment="1" applyBorder="1" applyFont="1">
      <alignment readingOrder="0" vertical="bottom"/>
    </xf>
    <xf borderId="5" fillId="5" fontId="2" numFmtId="1" xfId="0" applyAlignment="1" applyBorder="1" applyFont="1" applyNumberFormat="1">
      <alignment readingOrder="0" vertical="bottom"/>
    </xf>
    <xf borderId="11" fillId="4" fontId="9" numFmtId="0" xfId="0" applyAlignment="1" applyBorder="1" applyFont="1">
      <alignment horizontal="center" readingOrder="0" vertical="bottom"/>
    </xf>
    <xf borderId="0" fillId="0" fontId="9" numFmtId="0" xfId="0" applyAlignment="1" applyFont="1">
      <alignment vertical="bottom"/>
    </xf>
    <xf borderId="5" fillId="5" fontId="2" numFmtId="3" xfId="0" applyAlignment="1" applyBorder="1" applyFont="1" applyNumberFormat="1">
      <alignment readingOrder="0" vertical="bottom"/>
    </xf>
    <xf borderId="5" fillId="4" fontId="2" numFmtId="0" xfId="0" applyAlignment="1" applyBorder="1" applyFont="1">
      <alignment vertical="bottom"/>
    </xf>
    <xf borderId="5" fillId="4" fontId="9" numFmtId="0" xfId="0" applyAlignment="1" applyBorder="1" applyFont="1">
      <alignment readingOrder="0" vertical="bottom"/>
    </xf>
    <xf borderId="5" fillId="4" fontId="9" numFmtId="0" xfId="0" applyAlignment="1" applyBorder="1" applyFont="1">
      <alignment vertical="bottom"/>
    </xf>
    <xf borderId="5" fillId="5" fontId="2" numFmtId="164" xfId="0" applyAlignment="1" applyBorder="1" applyFont="1" applyNumberFormat="1">
      <alignment vertical="bottom"/>
    </xf>
    <xf borderId="5" fillId="6" fontId="9" numFmtId="1" xfId="0" applyAlignment="1" applyBorder="1" applyFont="1" applyNumberFormat="1">
      <alignment horizontal="right" vertical="bottom"/>
    </xf>
    <xf borderId="5" fillId="5" fontId="2" numFmtId="0" xfId="0" applyAlignment="1" applyBorder="1" applyFont="1">
      <alignment readingOrder="0"/>
    </xf>
    <xf borderId="5" fillId="5" fontId="2" numFmtId="164" xfId="0" applyAlignment="1" applyBorder="1" applyFont="1" applyNumberFormat="1">
      <alignment readingOrder="0"/>
    </xf>
    <xf borderId="5" fillId="5" fontId="2" numFmtId="164" xfId="0" applyAlignment="1" applyBorder="1" applyFont="1" applyNumberFormat="1">
      <alignment readingOrder="0" vertical="bottom"/>
    </xf>
    <xf borderId="5" fillId="5" fontId="2" numFmtId="1" xfId="0" applyBorder="1" applyFont="1" applyNumberFormat="1"/>
    <xf borderId="5" fillId="5" fontId="2" numFmtId="164" xfId="0" applyBorder="1" applyFont="1" applyNumberFormat="1"/>
    <xf borderId="11" fillId="4" fontId="2" numFmtId="0" xfId="0" applyAlignment="1" applyBorder="1" applyFont="1">
      <alignment readingOrder="0" vertical="bottom"/>
    </xf>
    <xf borderId="5" fillId="6" fontId="2" numFmtId="0" xfId="0" applyAlignment="1" applyBorder="1" applyFont="1">
      <alignment readingOrder="0" vertical="bottom"/>
    </xf>
    <xf borderId="0" fillId="0" fontId="9" numFmtId="0" xfId="0" applyAlignment="1" applyFont="1">
      <alignment horizontal="center" vertical="bottom"/>
    </xf>
    <xf borderId="5" fillId="0" fontId="2" numFmtId="0" xfId="0" applyAlignment="1" applyBorder="1" applyFont="1">
      <alignment vertical="bottom"/>
    </xf>
    <xf borderId="5" fillId="6" fontId="9" numFmtId="0" xfId="0" applyAlignment="1" applyBorder="1" applyFont="1">
      <alignment horizontal="center" readingOrder="0" vertical="bottom"/>
    </xf>
    <xf borderId="5" fillId="7" fontId="8" numFmtId="0" xfId="0" applyAlignment="1" applyBorder="1" applyFill="1" applyFont="1">
      <alignment horizontal="center" shrinkToFit="0" vertical="bottom" wrapText="0"/>
    </xf>
    <xf borderId="5" fillId="0" fontId="9" numFmtId="0" xfId="0" applyAlignment="1" applyBorder="1" applyFont="1">
      <alignment readingOrder="0" vertical="bottom"/>
    </xf>
    <xf borderId="5" fillId="7" fontId="9" numFmtId="1" xfId="0" applyAlignment="1" applyBorder="1" applyFont="1" applyNumberFormat="1">
      <alignment horizontal="right" vertical="bottom"/>
    </xf>
    <xf borderId="5" fillId="0" fontId="10" numFmtId="0" xfId="0" applyAlignment="1" applyBorder="1" applyFont="1">
      <alignment vertical="bottom"/>
    </xf>
    <xf borderId="5" fillId="7" fontId="2" numFmtId="0" xfId="0" applyAlignment="1" applyBorder="1" applyFont="1">
      <alignment vertical="bottom"/>
    </xf>
    <xf borderId="5" fillId="0" fontId="11" numFmtId="0" xfId="0" applyAlignment="1" applyBorder="1" applyFont="1">
      <alignment readingOrder="0" vertical="bottom"/>
    </xf>
    <xf borderId="5" fillId="7" fontId="11" numFmtId="164" xfId="0" applyAlignment="1" applyBorder="1" applyFont="1" applyNumberFormat="1">
      <alignment horizontal="right" vertical="bottom"/>
    </xf>
    <xf borderId="5" fillId="0" fontId="11" numFmtId="0" xfId="0" applyAlignment="1" applyBorder="1" applyFont="1">
      <alignment vertical="bottom"/>
    </xf>
    <xf borderId="5" fillId="6" fontId="2" numFmtId="0" xfId="0" applyBorder="1" applyFont="1"/>
    <xf borderId="5" fillId="7" fontId="11" numFmtId="10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vertical="bottom"/>
    </xf>
    <xf borderId="11" fillId="0" fontId="10" numFmtId="0" xfId="0" applyAlignment="1" applyBorder="1" applyFont="1">
      <alignment readingOrder="0" shrinkToFit="0" vertical="bottom" wrapText="1"/>
    </xf>
    <xf borderId="12" fillId="0" fontId="10" numFmtId="0" xfId="0" applyAlignment="1" applyBorder="1" applyFont="1">
      <alignment readingOrder="0" shrinkToFit="0" vertical="bottom" wrapText="1"/>
    </xf>
    <xf borderId="13" fillId="0" fontId="10" numFmtId="0" xfId="0" applyAlignment="1" applyBorder="1" applyFont="1">
      <alignment readingOrder="0" shrinkToFit="0" vertical="bottom" wrapText="1"/>
    </xf>
    <xf borderId="5" fillId="7" fontId="2" numFmtId="1" xfId="0" applyAlignment="1" applyBorder="1" applyFont="1" applyNumberFormat="1">
      <alignment vertical="bottom"/>
    </xf>
    <xf borderId="5" fillId="0" fontId="2" numFmtId="0" xfId="0" applyAlignment="1" applyBorder="1" applyFont="1">
      <alignment readingOrder="0" vertical="bottom"/>
    </xf>
    <xf borderId="5" fillId="7" fontId="2" numFmtId="10" xfId="0" applyAlignment="1" applyBorder="1" applyFont="1" applyNumberFormat="1">
      <alignment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3" max="3" width="15.86"/>
    <col customWidth="1" min="7" max="7" width="15.86"/>
    <col customWidth="1" min="9" max="9" width="22.14"/>
    <col customWidth="1" min="10" max="10" width="19.43"/>
    <col customWidth="1" min="13" max="13" width="74.43"/>
  </cols>
  <sheetData>
    <row r="1" ht="33.0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/>
      <c r="C2" s="3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 t="s">
        <v>1</v>
      </c>
      <c r="B3" s="6"/>
      <c r="C3" s="7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8"/>
      <c r="B4" s="9" t="s">
        <v>2</v>
      </c>
      <c r="C4" s="10" t="s">
        <v>3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1" t="s">
        <v>4</v>
      </c>
      <c r="B5" s="12">
        <f>C35</f>
        <v>5310550.237</v>
      </c>
      <c r="C5" s="13">
        <f>C41</f>
        <v>5310550.237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1" t="s">
        <v>5</v>
      </c>
      <c r="B6" s="12">
        <f>0</f>
        <v>0</v>
      </c>
      <c r="C6" s="13">
        <f>C44</f>
        <v>2336272.967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1" t="s">
        <v>6</v>
      </c>
      <c r="B7" s="14">
        <v>0.0</v>
      </c>
      <c r="C7" s="13">
        <f>C46</f>
        <v>1143534.055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1" t="s">
        <v>7</v>
      </c>
      <c r="B8" s="12">
        <f>C37</f>
        <v>0</v>
      </c>
      <c r="C8" s="13">
        <f>C6-C7</f>
        <v>1192738.913</v>
      </c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5" t="s">
        <v>8</v>
      </c>
      <c r="B9" s="16">
        <f t="shared" ref="B9:C9" si="1">B8/B5</f>
        <v>0</v>
      </c>
      <c r="C9" s="17">
        <f t="shared" si="1"/>
        <v>0.2245979907</v>
      </c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8"/>
      <c r="B10" s="2"/>
      <c r="C10" s="2"/>
      <c r="D10" s="2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9" t="s">
        <v>9</v>
      </c>
      <c r="B11" s="20"/>
      <c r="C11" s="2"/>
      <c r="D11" s="2"/>
      <c r="E11" s="21" t="s">
        <v>10</v>
      </c>
      <c r="F11" s="22"/>
      <c r="G11" s="22"/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4" t="s">
        <v>11</v>
      </c>
      <c r="B12" s="25">
        <v>3.4251159E7</v>
      </c>
      <c r="C12" s="2"/>
      <c r="E12" s="26" t="s">
        <v>12</v>
      </c>
      <c r="F12" s="22"/>
      <c r="G12" s="22"/>
      <c r="H12" s="23"/>
      <c r="I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7" t="s">
        <v>13</v>
      </c>
      <c r="B13" s="25">
        <f>B16*B12</f>
        <v>9247812.93</v>
      </c>
      <c r="C13" s="2"/>
      <c r="D13" s="2"/>
      <c r="E13" s="28"/>
      <c r="F13" s="29" t="s">
        <v>14</v>
      </c>
      <c r="G13" s="29" t="s">
        <v>15</v>
      </c>
      <c r="H13" s="30" t="s">
        <v>16</v>
      </c>
      <c r="I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7" t="s">
        <v>17</v>
      </c>
      <c r="B14" s="25">
        <v>5198.0</v>
      </c>
      <c r="C14" s="2"/>
      <c r="D14" s="2"/>
      <c r="E14" s="29" t="s">
        <v>18</v>
      </c>
      <c r="F14" s="31">
        <v>587.0</v>
      </c>
      <c r="G14" s="31">
        <v>148.0</v>
      </c>
      <c r="H14" s="32">
        <f>sum(F14:G14)</f>
        <v>735</v>
      </c>
      <c r="I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7" t="s">
        <v>19</v>
      </c>
      <c r="B15" s="25">
        <f>B12/B14</f>
        <v>6589.295691</v>
      </c>
      <c r="C15" s="2"/>
      <c r="D15" s="2"/>
      <c r="E15" s="29" t="s">
        <v>20</v>
      </c>
      <c r="F15" s="31">
        <v>2910.0</v>
      </c>
      <c r="G15" s="31">
        <v>4451.0</v>
      </c>
      <c r="H15" s="32">
        <f>SUM(F15:G15)</f>
        <v>7361</v>
      </c>
      <c r="I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3" t="s">
        <v>21</v>
      </c>
      <c r="B16" s="34">
        <v>0.27</v>
      </c>
      <c r="C16" s="2"/>
      <c r="D16" s="2"/>
      <c r="E16" s="30" t="s">
        <v>22</v>
      </c>
      <c r="F16" s="31">
        <f t="shared" ref="F16:G16" si="2">sum(F14:F15)</f>
        <v>3497</v>
      </c>
      <c r="G16" s="31">
        <f t="shared" si="2"/>
        <v>4599</v>
      </c>
      <c r="H16" s="32">
        <f>SUM(H14:H15)</f>
        <v>8096</v>
      </c>
      <c r="I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7" t="s">
        <v>23</v>
      </c>
      <c r="B17" s="35">
        <f>B16*B15</f>
        <v>1779.109836</v>
      </c>
      <c r="C17" s="36"/>
      <c r="D17" s="37"/>
      <c r="I17" s="2"/>
      <c r="N17" s="38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7" t="s">
        <v>24</v>
      </c>
      <c r="B18" s="39">
        <v>5.25</v>
      </c>
      <c r="C18" s="2"/>
      <c r="D18" s="2"/>
      <c r="E18" s="2"/>
      <c r="F18" s="2"/>
      <c r="G18" s="2"/>
      <c r="H18" s="2"/>
      <c r="I18" s="2"/>
      <c r="L18" s="2"/>
      <c r="M18" s="40"/>
      <c r="N18" s="38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7" t="s">
        <v>25</v>
      </c>
      <c r="B19" s="39">
        <v>10.5</v>
      </c>
      <c r="C19" s="2"/>
      <c r="D19" s="2"/>
      <c r="E19" s="2"/>
      <c r="F19" s="2"/>
      <c r="G19" s="2"/>
      <c r="H19" s="2"/>
      <c r="I19" s="2"/>
      <c r="L19" s="2"/>
      <c r="M19" s="40"/>
      <c r="N19" s="38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41" t="s">
        <v>26</v>
      </c>
      <c r="B20" s="42">
        <f>B17*0.3</f>
        <v>533.7329509</v>
      </c>
      <c r="C20" s="2"/>
      <c r="D20" s="2"/>
      <c r="E20" s="43" t="s">
        <v>27</v>
      </c>
      <c r="F20" s="22"/>
      <c r="G20" s="22"/>
      <c r="H20" s="23"/>
      <c r="I20" s="2"/>
      <c r="L20" s="2"/>
      <c r="M20" s="44"/>
      <c r="N20" s="38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41" t="s">
        <v>28</v>
      </c>
      <c r="B21" s="45">
        <f>0.7*B17</f>
        <v>1245.376886</v>
      </c>
      <c r="C21" s="2"/>
      <c r="D21" s="2"/>
      <c r="E21" s="26" t="s">
        <v>29</v>
      </c>
      <c r="F21" s="22"/>
      <c r="G21" s="22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41" t="s">
        <v>30</v>
      </c>
      <c r="B22" s="41">
        <v>5.25</v>
      </c>
      <c r="C22" s="2"/>
      <c r="D22" s="2"/>
      <c r="E22" s="46"/>
      <c r="F22" s="47" t="s">
        <v>14</v>
      </c>
      <c r="G22" s="47" t="s">
        <v>15</v>
      </c>
      <c r="H22" s="48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41" t="s">
        <v>31</v>
      </c>
      <c r="B23" s="49">
        <f>F37</f>
        <v>37994</v>
      </c>
      <c r="C23" s="2"/>
      <c r="D23" s="2"/>
      <c r="E23" s="29" t="s">
        <v>18</v>
      </c>
      <c r="F23" s="50">
        <f t="shared" ref="F23:H23" si="3">$H$25*F14/$H$16</f>
        <v>128.9942532</v>
      </c>
      <c r="G23" s="50">
        <f t="shared" si="3"/>
        <v>32.52325294</v>
      </c>
      <c r="H23" s="50">
        <f t="shared" si="3"/>
        <v>161.5175062</v>
      </c>
      <c r="I23" s="3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41" t="s">
        <v>32</v>
      </c>
      <c r="B24" s="49">
        <f>G37</f>
        <v>30687</v>
      </c>
      <c r="C24" s="2"/>
      <c r="D24" s="2"/>
      <c r="E24" s="29" t="s">
        <v>20</v>
      </c>
      <c r="F24" s="50">
        <f t="shared" ref="F24:H24" si="4">$H$25*F15/$H$16</f>
        <v>639.4774733</v>
      </c>
      <c r="G24" s="50">
        <f t="shared" si="4"/>
        <v>978.114857</v>
      </c>
      <c r="H24" s="50">
        <f t="shared" si="4"/>
        <v>1617.59233</v>
      </c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51" t="s">
        <v>33</v>
      </c>
      <c r="B25" s="52">
        <f>(B23*0.3)+(B24*0.7)</f>
        <v>32879.1</v>
      </c>
      <c r="C25" s="2"/>
      <c r="D25" s="2"/>
      <c r="E25" s="30" t="s">
        <v>22</v>
      </c>
      <c r="F25" s="50">
        <f t="shared" ref="F25:G25" si="5">$H$25*F16/$H$16</f>
        <v>768.4717266</v>
      </c>
      <c r="G25" s="50">
        <f t="shared" si="5"/>
        <v>1010.63811</v>
      </c>
      <c r="H25" s="50">
        <f>B17</f>
        <v>1779.109836</v>
      </c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41" t="s">
        <v>34</v>
      </c>
      <c r="B26" s="53">
        <f>average(F31:G31)</f>
        <v>8730.5</v>
      </c>
      <c r="C26" s="2"/>
      <c r="D26" s="2"/>
      <c r="E26" s="44"/>
      <c r="F26" s="38"/>
      <c r="G26" s="38"/>
      <c r="H26" s="2"/>
      <c r="I26" s="3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41" t="s">
        <v>35</v>
      </c>
      <c r="B27" s="53">
        <v>11820.0</v>
      </c>
      <c r="C27" s="2"/>
      <c r="D27" s="2"/>
      <c r="E27" s="44"/>
      <c r="F27" s="38"/>
      <c r="G27" s="38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51" t="s">
        <v>36</v>
      </c>
      <c r="B28" s="54">
        <f>H23</f>
        <v>161.5175062</v>
      </c>
      <c r="C28" s="2"/>
      <c r="D28" s="2"/>
      <c r="E28" s="44"/>
      <c r="F28" s="38"/>
      <c r="G28" s="38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51" t="s">
        <v>37</v>
      </c>
      <c r="B29" s="55">
        <f>B25*B28</f>
        <v>5310550.237</v>
      </c>
      <c r="C29" s="2"/>
      <c r="D29" s="2"/>
      <c r="E29" s="56" t="s">
        <v>38</v>
      </c>
      <c r="F29" s="22"/>
      <c r="G29" s="23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C30" s="2"/>
      <c r="D30" s="2"/>
      <c r="E30" s="28"/>
      <c r="F30" s="57" t="s">
        <v>39</v>
      </c>
      <c r="G30" s="57" t="s">
        <v>40</v>
      </c>
      <c r="I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D31" s="58"/>
      <c r="E31" s="57" t="s">
        <v>41</v>
      </c>
      <c r="F31" s="57">
        <v>10794.0</v>
      </c>
      <c r="G31" s="57">
        <v>6667.0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59"/>
      <c r="B32" s="60" t="s">
        <v>42</v>
      </c>
      <c r="C32" s="61" t="s">
        <v>43</v>
      </c>
      <c r="D32" s="58"/>
      <c r="E32" s="57" t="s">
        <v>44</v>
      </c>
      <c r="F32" s="57">
        <v>4796.0</v>
      </c>
      <c r="G32" s="57">
        <v>3968.0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62" t="s">
        <v>45</v>
      </c>
      <c r="B33" s="31">
        <f>H14</f>
        <v>735</v>
      </c>
      <c r="C33" s="63">
        <f>B28</f>
        <v>161.5175062</v>
      </c>
      <c r="D33" s="2"/>
      <c r="E33" s="57" t="s">
        <v>46</v>
      </c>
      <c r="F33" s="57">
        <v>3968.0</v>
      </c>
      <c r="G33" s="57">
        <v>3184.0</v>
      </c>
      <c r="H33" s="2"/>
      <c r="I33" s="2"/>
      <c r="J33" s="3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64" t="s">
        <v>47</v>
      </c>
      <c r="B34" s="28"/>
      <c r="C34" s="65"/>
      <c r="D34" s="2"/>
      <c r="E34" s="57" t="s">
        <v>48</v>
      </c>
      <c r="F34" s="57">
        <v>3968.0</v>
      </c>
      <c r="G34" s="57">
        <v>3184.0</v>
      </c>
      <c r="H34" s="2"/>
      <c r="I34" s="2"/>
      <c r="J34" s="3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66" t="s">
        <v>49</v>
      </c>
      <c r="B35" s="28"/>
      <c r="C35" s="67">
        <f>B29</f>
        <v>5310550.237</v>
      </c>
      <c r="D35" s="2"/>
      <c r="E35" s="57" t="s">
        <v>50</v>
      </c>
      <c r="F35" s="57">
        <v>3968.0</v>
      </c>
      <c r="G35" s="57">
        <v>3184.0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68" t="s">
        <v>51</v>
      </c>
      <c r="B36" s="28"/>
      <c r="C36" s="67">
        <f>C35</f>
        <v>5310550.237</v>
      </c>
      <c r="D36" s="2"/>
      <c r="E36" s="57" t="s">
        <v>52</v>
      </c>
      <c r="F36" s="28">
        <f t="shared" ref="F36:G36" si="6">2000*5.25</f>
        <v>10500</v>
      </c>
      <c r="G36" s="57">
        <f t="shared" si="6"/>
        <v>10500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68" t="s">
        <v>5</v>
      </c>
      <c r="B37" s="28"/>
      <c r="C37" s="67">
        <v>0.0</v>
      </c>
      <c r="D37" s="2"/>
      <c r="E37" s="57" t="s">
        <v>22</v>
      </c>
      <c r="F37" s="69">
        <f>SUM(F31:F36)</f>
        <v>37994</v>
      </c>
      <c r="G37" s="69">
        <f>sum(G31:G36)</f>
        <v>30687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68" t="s">
        <v>53</v>
      </c>
      <c r="B38" s="28"/>
      <c r="C38" s="70">
        <f>C37/C35</f>
        <v>0</v>
      </c>
      <c r="D38" s="2"/>
      <c r="E38" s="71"/>
      <c r="F38" s="2"/>
      <c r="G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59"/>
      <c r="B39" s="28"/>
      <c r="C39" s="65"/>
      <c r="D39" s="2"/>
      <c r="E39" s="37"/>
      <c r="G39" s="7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73" t="s">
        <v>54</v>
      </c>
      <c r="B40" s="74"/>
      <c r="C40" s="75"/>
      <c r="D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66" t="s">
        <v>49</v>
      </c>
      <c r="B41" s="28"/>
      <c r="C41" s="67">
        <f>B29</f>
        <v>5310550.237</v>
      </c>
      <c r="D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66" t="s">
        <v>55</v>
      </c>
      <c r="B42" s="28"/>
      <c r="C42" s="76">
        <f>0.75*F23</f>
        <v>96.74568991</v>
      </c>
      <c r="D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66" t="s">
        <v>56</v>
      </c>
      <c r="B43" s="28"/>
      <c r="C43" s="67">
        <f>B25-B26</f>
        <v>24148.6</v>
      </c>
      <c r="D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66" t="s">
        <v>57</v>
      </c>
      <c r="B44" s="28"/>
      <c r="C44" s="67">
        <f>C43*C42</f>
        <v>2336272.967</v>
      </c>
      <c r="D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66" t="s">
        <v>58</v>
      </c>
      <c r="B45" s="28"/>
      <c r="C45" s="67">
        <f>B27</f>
        <v>11820</v>
      </c>
      <c r="D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66" t="s">
        <v>59</v>
      </c>
      <c r="B46" s="28"/>
      <c r="C46" s="67">
        <f>C45*C42</f>
        <v>1143534.055</v>
      </c>
      <c r="D46" s="4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66" t="s">
        <v>60</v>
      </c>
      <c r="B47" s="28"/>
      <c r="C47" s="67">
        <f>C44-C46</f>
        <v>1192738.913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77" t="s">
        <v>61</v>
      </c>
      <c r="B48" s="28"/>
      <c r="C48" s="78">
        <f>C47/C41</f>
        <v>0.2245979907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D54" s="7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</sheetData>
  <mergeCells count="7">
    <mergeCell ref="E21:H21"/>
    <mergeCell ref="E29:G29"/>
    <mergeCell ref="A1:H1"/>
    <mergeCell ref="E11:H11"/>
    <mergeCell ref="E12:H12"/>
    <mergeCell ref="E20:H20"/>
    <mergeCell ref="A3:C3"/>
  </mergeCells>
  <drawing r:id="rId1"/>
</worksheet>
</file>