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jj\Dropbox\Ehrharta Project\Final Data\Stats files\"/>
    </mc:Choice>
  </mc:AlternateContent>
  <bookViews>
    <workbookView xWindow="0" yWindow="0" windowWidth="15210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9" i="1"/>
  <c r="T17" i="1"/>
  <c r="U12" i="1"/>
  <c r="U6" i="1"/>
  <c r="V11" i="1"/>
  <c r="U11" i="1"/>
  <c r="U5" i="1"/>
  <c r="U10" i="1"/>
  <c r="U4" i="1"/>
  <c r="T12" i="1"/>
  <c r="T11" i="1"/>
  <c r="T10" i="1"/>
  <c r="Q2" i="1"/>
  <c r="Q3" i="1"/>
  <c r="Q4" i="1"/>
  <c r="Q5" i="1"/>
  <c r="Q6" i="1"/>
  <c r="Q7" i="1"/>
  <c r="Q8" i="1"/>
  <c r="Q9" i="1"/>
  <c r="Q10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8" i="1"/>
  <c r="Q49" i="1"/>
  <c r="Q50" i="1"/>
  <c r="Q51" i="1"/>
  <c r="Q52" i="1"/>
  <c r="Q63" i="1"/>
  <c r="AH77" i="1"/>
  <c r="AH78" i="1"/>
  <c r="AH79" i="1"/>
  <c r="AH84" i="1"/>
  <c r="AH85" i="1"/>
  <c r="AH101" i="1"/>
  <c r="AH102" i="1"/>
  <c r="AH2" i="1"/>
  <c r="AH3" i="1"/>
  <c r="AH4" i="1"/>
  <c r="AH5" i="1"/>
  <c r="AH7" i="1"/>
  <c r="AH9" i="1"/>
  <c r="AH11" i="1"/>
  <c r="AH13" i="1"/>
  <c r="AH14" i="1"/>
  <c r="AH15" i="1"/>
  <c r="AH16" i="1"/>
  <c r="AH17" i="1"/>
  <c r="AH18" i="1"/>
  <c r="AH19" i="1"/>
  <c r="AH20" i="1"/>
  <c r="AH21" i="1"/>
  <c r="AH25" i="1"/>
  <c r="AH27" i="1"/>
  <c r="AH29" i="1"/>
  <c r="AH30" i="1"/>
  <c r="AH32" i="1"/>
  <c r="AH34" i="1"/>
  <c r="AH35" i="1"/>
  <c r="T6" i="1"/>
  <c r="T5" i="1"/>
  <c r="T4" i="1"/>
  <c r="V10" i="1"/>
  <c r="V12" i="1"/>
  <c r="AB35" i="1"/>
  <c r="AB36" i="1"/>
  <c r="AB37" i="1"/>
  <c r="AB41" i="1"/>
  <c r="AB42" i="1"/>
  <c r="AB43" i="1"/>
  <c r="AB44" i="1"/>
  <c r="AB63" i="1"/>
  <c r="AB64" i="1"/>
  <c r="V5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3" i="1"/>
  <c r="AB84" i="1"/>
  <c r="AB85" i="1"/>
  <c r="AB90" i="1"/>
  <c r="AB92" i="1"/>
  <c r="AB93" i="1"/>
  <c r="AB94" i="1"/>
  <c r="AB95" i="1"/>
  <c r="AB96" i="1"/>
  <c r="V6" i="1"/>
  <c r="AB2" i="1"/>
  <c r="AB3" i="1"/>
  <c r="AB4" i="1"/>
  <c r="AB5" i="1"/>
  <c r="AB6" i="1"/>
  <c r="AB7" i="1"/>
  <c r="AB8" i="1"/>
  <c r="AB9" i="1"/>
  <c r="AB10" i="1"/>
  <c r="AB12" i="1"/>
  <c r="AB13" i="1"/>
  <c r="AB17" i="1"/>
  <c r="AB23" i="1"/>
  <c r="AB24" i="1"/>
  <c r="AB26" i="1"/>
  <c r="AB27" i="1"/>
  <c r="AB28" i="1"/>
  <c r="AB29" i="1"/>
  <c r="AB30" i="1"/>
  <c r="AB31" i="1"/>
  <c r="AB32" i="1"/>
  <c r="AB33" i="1"/>
  <c r="AB34" i="1"/>
  <c r="V4" i="1"/>
  <c r="Q65" i="1"/>
</calcChain>
</file>

<file path=xl/comments1.xml><?xml version="1.0" encoding="utf-8"?>
<comments xmlns="http://schemas.openxmlformats.org/spreadsheetml/2006/main">
  <authors>
    <author>jjjj</author>
  </authors>
  <commentList>
    <comment ref="AA55" authorId="0" shapeId="0">
      <text>
        <r>
          <rPr>
            <b/>
            <sz val="9"/>
            <color indexed="81"/>
            <rFont val="Tahoma"/>
            <family val="2"/>
          </rPr>
          <t>jjjj:</t>
        </r>
        <r>
          <rPr>
            <sz val="9"/>
            <color indexed="81"/>
            <rFont val="Tahoma"/>
            <family val="2"/>
          </rPr>
          <t xml:space="preserve">
unkown what plot was surveyed but put down 5 so r would accept it
</t>
        </r>
      </text>
    </comment>
  </commentList>
</comments>
</file>

<file path=xl/sharedStrings.xml><?xml version="1.0" encoding="utf-8"?>
<sst xmlns="http://schemas.openxmlformats.org/spreadsheetml/2006/main" count="853" uniqueCount="89">
  <si>
    <t>Treatment</t>
    <phoneticPr fontId="0" type="noConversion"/>
  </si>
  <si>
    <t>Site</t>
    <phoneticPr fontId="0" type="noConversion"/>
  </si>
  <si>
    <t>Site Name</t>
    <phoneticPr fontId="0" type="noConversion"/>
  </si>
  <si>
    <t>Subplot</t>
    <phoneticPr fontId="0" type="noConversion"/>
  </si>
  <si>
    <t>subplot surveyed</t>
    <phoneticPr fontId="0" type="noConversion"/>
  </si>
  <si>
    <t>EHR Dec12</t>
    <phoneticPr fontId="0" type="noConversion"/>
  </si>
  <si>
    <t>Rubus Dec12</t>
    <phoneticPr fontId="0" type="noConversion"/>
  </si>
  <si>
    <t>Myosotis Dec12</t>
    <phoneticPr fontId="0" type="noConversion"/>
  </si>
  <si>
    <t>EHR Jan13</t>
    <phoneticPr fontId="0" type="noConversion"/>
  </si>
  <si>
    <t>Sm. Rd. Dicot Jan13</t>
    <phoneticPr fontId="0" type="noConversion"/>
  </si>
  <si>
    <t>Stachys Jan13</t>
    <phoneticPr fontId="0" type="noConversion"/>
  </si>
  <si>
    <t xml:space="preserve">EHR May13  </t>
    <phoneticPr fontId="0" type="noConversion"/>
  </si>
  <si>
    <t>Rumex May13</t>
    <phoneticPr fontId="0" type="noConversion"/>
  </si>
  <si>
    <t>Unklemon May13</t>
    <phoneticPr fontId="0" type="noConversion"/>
  </si>
  <si>
    <t>December 2012 plot surveyed</t>
  </si>
  <si>
    <t>Lab Book Number</t>
  </si>
  <si>
    <t>Ehrharta erecta December 2012</t>
  </si>
  <si>
    <t>Control</t>
    <phoneticPr fontId="0" type="noConversion"/>
  </si>
  <si>
    <t>McHenry Valley</t>
    <phoneticPr fontId="0" type="noConversion"/>
  </si>
  <si>
    <t>1st</t>
    <phoneticPr fontId="0" type="noConversion"/>
  </si>
  <si>
    <t xml:space="preserve">2nd </t>
    <phoneticPr fontId="0" type="noConversion"/>
  </si>
  <si>
    <t>3rd</t>
    <phoneticPr fontId="0" type="noConversion"/>
  </si>
  <si>
    <t>Herbicide</t>
    <phoneticPr fontId="0" type="noConversion"/>
  </si>
  <si>
    <t>Pull</t>
    <phoneticPr fontId="0" type="noConversion"/>
  </si>
  <si>
    <t>Meyer/Heller</t>
    <phoneticPr fontId="0" type="noConversion"/>
  </si>
  <si>
    <t>Lower Heller</t>
    <phoneticPr fontId="0" type="noConversion"/>
  </si>
  <si>
    <t>3rd</t>
    <phoneticPr fontId="0" type="noConversion"/>
  </si>
  <si>
    <t>2nd</t>
    <phoneticPr fontId="0" type="noConversion"/>
  </si>
  <si>
    <t>Health Center</t>
    <phoneticPr fontId="0" type="noConversion"/>
  </si>
  <si>
    <t xml:space="preserve">3rd </t>
  </si>
  <si>
    <t>Parking Garage</t>
    <phoneticPr fontId="0" type="noConversion"/>
  </si>
  <si>
    <t>Upper Heller</t>
    <phoneticPr fontId="0" type="noConversion"/>
  </si>
  <si>
    <t>West McHenry</t>
    <phoneticPr fontId="0" type="noConversion"/>
  </si>
  <si>
    <t xml:space="preserve">Average percent cover </t>
  </si>
  <si>
    <t>Control</t>
  </si>
  <si>
    <t>Herbicide</t>
  </si>
  <si>
    <t>Pull</t>
  </si>
  <si>
    <t>Treatment</t>
    <phoneticPr fontId="0" type="noConversion"/>
  </si>
  <si>
    <t>Site</t>
    <phoneticPr fontId="0" type="noConversion"/>
  </si>
  <si>
    <t>Site Name</t>
    <phoneticPr fontId="0" type="noConversion"/>
  </si>
  <si>
    <t>Subplot</t>
    <phoneticPr fontId="0" type="noConversion"/>
  </si>
  <si>
    <t>Ehrharta Oct 2014</t>
  </si>
  <si>
    <t>Control</t>
    <phoneticPr fontId="0" type="noConversion"/>
  </si>
  <si>
    <t>1st</t>
    <phoneticPr fontId="0" type="noConversion"/>
  </si>
  <si>
    <t xml:space="preserve">2nd </t>
    <phoneticPr fontId="0" type="noConversion"/>
  </si>
  <si>
    <t>Herbicide</t>
    <phoneticPr fontId="0" type="noConversion"/>
  </si>
  <si>
    <t>Pull</t>
    <phoneticPr fontId="0" type="noConversion"/>
  </si>
  <si>
    <t>McHenry Dumpster</t>
    <phoneticPr fontId="0" type="noConversion"/>
  </si>
  <si>
    <t>McHenry Valley</t>
    <phoneticPr fontId="0" type="noConversion"/>
  </si>
  <si>
    <t>Meyer/Heller</t>
    <phoneticPr fontId="0" type="noConversion"/>
  </si>
  <si>
    <t>Lower Heller</t>
    <phoneticPr fontId="0" type="noConversion"/>
  </si>
  <si>
    <t>Merry-go-round</t>
    <phoneticPr fontId="0" type="noConversion"/>
  </si>
  <si>
    <t>Red Hill</t>
    <phoneticPr fontId="0" type="noConversion"/>
  </si>
  <si>
    <t>Bridge</t>
  </si>
  <si>
    <t>Health Center</t>
    <phoneticPr fontId="0" type="noConversion"/>
  </si>
  <si>
    <t>Parking Garage</t>
    <phoneticPr fontId="0" type="noConversion"/>
  </si>
  <si>
    <t>Upper Heller</t>
    <phoneticPr fontId="0" type="noConversion"/>
  </si>
  <si>
    <t>West McHenry</t>
    <phoneticPr fontId="0" type="noConversion"/>
  </si>
  <si>
    <t>Oct '14 plot surveyed</t>
  </si>
  <si>
    <t>1st</t>
  </si>
  <si>
    <t>2nd</t>
  </si>
  <si>
    <t>3rd</t>
  </si>
  <si>
    <t>DEC 12</t>
  </si>
  <si>
    <t>% change</t>
  </si>
  <si>
    <t>Treatment</t>
    <phoneticPr fontId="0" type="noConversion"/>
  </si>
  <si>
    <t>Site</t>
    <phoneticPr fontId="0" type="noConversion"/>
  </si>
  <si>
    <t>Site Name</t>
    <phoneticPr fontId="0" type="noConversion"/>
  </si>
  <si>
    <t>Subplot</t>
    <phoneticPr fontId="0" type="noConversion"/>
  </si>
  <si>
    <t>Ehrharta May-June 2013</t>
  </si>
  <si>
    <t>Control</t>
    <phoneticPr fontId="0" type="noConversion"/>
  </si>
  <si>
    <t>Bookstore</t>
    <phoneticPr fontId="0" type="noConversion"/>
  </si>
  <si>
    <t>1st</t>
    <phoneticPr fontId="0" type="noConversion"/>
  </si>
  <si>
    <t xml:space="preserve">2nd </t>
    <phoneticPr fontId="0" type="noConversion"/>
  </si>
  <si>
    <t>3rd</t>
    <phoneticPr fontId="0" type="noConversion"/>
  </si>
  <si>
    <t>Herbicide</t>
    <phoneticPr fontId="0" type="noConversion"/>
  </si>
  <si>
    <t>Pull</t>
    <phoneticPr fontId="0" type="noConversion"/>
  </si>
  <si>
    <t>McHenry Dumpster</t>
    <phoneticPr fontId="0" type="noConversion"/>
  </si>
  <si>
    <t>McHenry Valley</t>
    <phoneticPr fontId="0" type="noConversion"/>
  </si>
  <si>
    <t>Meyer/Heller</t>
    <phoneticPr fontId="0" type="noConversion"/>
  </si>
  <si>
    <t>Lower Heller</t>
    <phoneticPr fontId="0" type="noConversion"/>
  </si>
  <si>
    <t>Merry-go-round</t>
    <phoneticPr fontId="0" type="noConversion"/>
  </si>
  <si>
    <t>Red Hill</t>
    <phoneticPr fontId="0" type="noConversion"/>
  </si>
  <si>
    <t>Quarry</t>
    <phoneticPr fontId="0" type="noConversion"/>
  </si>
  <si>
    <t>Health Center</t>
    <phoneticPr fontId="0" type="noConversion"/>
  </si>
  <si>
    <t>Parking Garage</t>
    <phoneticPr fontId="0" type="noConversion"/>
  </si>
  <si>
    <t>Upper Heller</t>
    <phoneticPr fontId="0" type="noConversion"/>
  </si>
  <si>
    <t>West McHenry</t>
    <phoneticPr fontId="0" type="noConversion"/>
  </si>
  <si>
    <t>% of original cover</t>
  </si>
  <si>
    <t>OCT 14/ DEC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</si>
</sst>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0" fillId="6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7" borderId="3" xfId="0" applyFill="1" applyBorder="1"/>
    <xf numFmtId="0" fontId="2" fillId="8" borderId="3" xfId="0" applyFont="1" applyFill="1" applyBorder="1" applyAlignment="1">
      <alignment horizontal="center"/>
    </xf>
    <xf numFmtId="0" fontId="0" fillId="8" borderId="3" xfId="0" applyFill="1" applyBorder="1"/>
    <xf numFmtId="0" fontId="2" fillId="9" borderId="3" xfId="0" applyFont="1" applyFill="1" applyBorder="1" applyAlignment="1">
      <alignment horizontal="center"/>
    </xf>
    <xf numFmtId="0" fontId="0" fillId="9" borderId="3" xfId="0" applyFill="1" applyBorder="1"/>
    <xf numFmtId="0" fontId="0" fillId="0" borderId="3" xfId="0" applyFill="1" applyBorder="1"/>
    <xf numFmtId="0" fontId="0" fillId="0" borderId="4" xfId="0" applyBorder="1" applyAlignment="1">
      <alignment wrapText="1"/>
    </xf>
    <xf numFmtId="0" fontId="0" fillId="6" borderId="5" xfId="0" applyFill="1" applyBorder="1"/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0" fillId="2" borderId="3" xfId="1" applyFont="1" applyBorder="1"/>
    <xf numFmtId="0" fontId="0" fillId="10" borderId="3" xfId="0" applyFill="1" applyBorder="1"/>
    <xf numFmtId="17" fontId="0" fillId="10" borderId="3" xfId="0" applyNumberFormat="1" applyFill="1" applyBorder="1"/>
    <xf numFmtId="0" fontId="0" fillId="11" borderId="3" xfId="0" applyFill="1" applyBorder="1"/>
    <xf numFmtId="49" fontId="0" fillId="11" borderId="3" xfId="0" applyNumberFormat="1" applyFill="1" applyBorder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8"/>
  <sheetViews>
    <sheetView tabSelected="1" topLeftCell="P7" workbookViewId="0">
      <selection activeCell="V17" sqref="V17"/>
    </sheetView>
  </sheetViews>
  <sheetFormatPr defaultRowHeight="15" x14ac:dyDescent="0.25"/>
  <cols>
    <col min="1" max="1" width="10.5703125" style="7" customWidth="1"/>
    <col min="2" max="2" width="8.42578125" style="9" customWidth="1"/>
    <col min="3" max="3" width="12.28515625" style="9" customWidth="1"/>
    <col min="4" max="4" width="10.7109375" style="9" customWidth="1"/>
    <col min="5" max="5" width="12.140625" style="10" hidden="1" customWidth="1"/>
    <col min="6" max="6" width="9.85546875" style="10" hidden="1" customWidth="1"/>
    <col min="7" max="7" width="6.7109375" style="11" hidden="1" customWidth="1"/>
    <col min="8" max="8" width="11.140625" style="11" hidden="1" customWidth="1"/>
    <col min="9" max="9" width="15.85546875" style="11" hidden="1" customWidth="1"/>
    <col min="10" max="10" width="11.7109375" style="9" hidden="1" customWidth="1"/>
    <col min="11" max="11" width="8.140625" style="9" hidden="1" customWidth="1"/>
    <col min="12" max="12" width="8" style="9" hidden="1" customWidth="1"/>
    <col min="13" max="13" width="8.140625" style="9" hidden="1" customWidth="1"/>
    <col min="14" max="14" width="11.85546875" style="9" hidden="1" customWidth="1"/>
    <col min="15" max="16" width="11.85546875" style="12" customWidth="1"/>
    <col min="17" max="17" width="11.28515625" style="9" customWidth="1"/>
    <col min="23" max="23" width="10.5703125" style="7" customWidth="1"/>
    <col min="24" max="24" width="8.42578125" style="9" customWidth="1"/>
    <col min="25" max="25" width="12.28515625" style="9" customWidth="1"/>
    <col min="26" max="26" width="10.7109375" style="9" customWidth="1"/>
    <col min="27" max="27" width="11.85546875" style="12" customWidth="1"/>
    <col min="28" max="28" width="11.28515625" style="9" customWidth="1"/>
    <col min="30" max="30" width="12.42578125" style="7" customWidth="1"/>
    <col min="31" max="31" width="9.85546875" style="9" customWidth="1"/>
    <col min="32" max="32" width="14.28515625" style="9" customWidth="1"/>
    <col min="33" max="33" width="12.5703125" style="9" customWidth="1"/>
    <col min="34" max="34" width="13.140625" style="9" customWidth="1"/>
  </cols>
  <sheetData>
    <row r="1" spans="1:34" ht="52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6" t="s">
        <v>16</v>
      </c>
      <c r="W1" s="1" t="s">
        <v>37</v>
      </c>
      <c r="X1" s="2" t="s">
        <v>38</v>
      </c>
      <c r="Y1" s="2" t="s">
        <v>39</v>
      </c>
      <c r="Z1" s="2" t="s">
        <v>40</v>
      </c>
      <c r="AA1" s="5" t="s">
        <v>58</v>
      </c>
      <c r="AB1" s="18" t="s">
        <v>41</v>
      </c>
      <c r="AD1" s="1" t="s">
        <v>64</v>
      </c>
      <c r="AE1" s="2" t="s">
        <v>65</v>
      </c>
      <c r="AF1" s="2" t="s">
        <v>66</v>
      </c>
      <c r="AG1" s="2" t="s">
        <v>67</v>
      </c>
      <c r="AH1" s="2" t="s">
        <v>68</v>
      </c>
    </row>
    <row r="2" spans="1:34" ht="15.75" thickTop="1" x14ac:dyDescent="0.25">
      <c r="A2" s="7" t="s">
        <v>17</v>
      </c>
      <c r="B2" s="8">
        <v>3</v>
      </c>
      <c r="C2" s="9" t="s">
        <v>18</v>
      </c>
      <c r="D2" s="9" t="s">
        <v>19</v>
      </c>
      <c r="O2" s="12">
        <v>2</v>
      </c>
      <c r="P2" s="12">
        <v>1</v>
      </c>
      <c r="Q2" s="9">
        <f>5+8+2+6+6+2+8+5+2+1</f>
        <v>45</v>
      </c>
      <c r="S2" t="s">
        <v>33</v>
      </c>
      <c r="W2" s="7" t="s">
        <v>42</v>
      </c>
      <c r="X2" s="9">
        <v>2</v>
      </c>
      <c r="Y2" s="9" t="s">
        <v>47</v>
      </c>
      <c r="Z2" s="9" t="s">
        <v>43</v>
      </c>
      <c r="AA2" s="12">
        <v>1</v>
      </c>
      <c r="AB2" s="9">
        <f>14+7+2+3+2+2+5+3</f>
        <v>38</v>
      </c>
      <c r="AD2" s="24" t="s">
        <v>69</v>
      </c>
      <c r="AE2" s="19">
        <v>1</v>
      </c>
      <c r="AF2" s="20" t="s">
        <v>70</v>
      </c>
      <c r="AG2" s="20" t="s">
        <v>71</v>
      </c>
      <c r="AH2" s="20">
        <f>51+48+39+31+37+41+23+30+31+37</f>
        <v>368</v>
      </c>
    </row>
    <row r="3" spans="1:34" x14ac:dyDescent="0.25">
      <c r="A3" s="7" t="s">
        <v>17</v>
      </c>
      <c r="B3" s="8">
        <v>3</v>
      </c>
      <c r="C3" s="9" t="s">
        <v>18</v>
      </c>
      <c r="D3" s="9" t="s">
        <v>20</v>
      </c>
      <c r="O3" s="12">
        <v>5</v>
      </c>
      <c r="P3" s="12">
        <v>1</v>
      </c>
      <c r="Q3" s="9">
        <f>5+7+7+7+5+8+3+6+5+5</f>
        <v>58</v>
      </c>
      <c r="S3" s="27"/>
      <c r="T3" s="27" t="s">
        <v>62</v>
      </c>
      <c r="U3" s="28">
        <v>41913</v>
      </c>
      <c r="V3" s="28" t="s">
        <v>63</v>
      </c>
      <c r="W3" s="7" t="s">
        <v>42</v>
      </c>
      <c r="X3" s="9">
        <v>2</v>
      </c>
      <c r="Y3" s="9" t="s">
        <v>47</v>
      </c>
      <c r="Z3" s="9" t="s">
        <v>44</v>
      </c>
      <c r="AA3" s="12">
        <v>7</v>
      </c>
      <c r="AB3" s="9">
        <f>1+3+1+1+5+6+11+10+3+4</f>
        <v>45</v>
      </c>
      <c r="AD3" s="7" t="s">
        <v>69</v>
      </c>
      <c r="AE3" s="8">
        <v>1</v>
      </c>
      <c r="AF3" s="9" t="s">
        <v>70</v>
      </c>
      <c r="AG3" s="9" t="s">
        <v>72</v>
      </c>
      <c r="AH3" s="9">
        <f>38+51+47+49+53+47+43+50+56+67</f>
        <v>501</v>
      </c>
    </row>
    <row r="4" spans="1:34" x14ac:dyDescent="0.25">
      <c r="A4" s="7" t="s">
        <v>17</v>
      </c>
      <c r="B4" s="8">
        <v>3</v>
      </c>
      <c r="C4" s="9" t="s">
        <v>18</v>
      </c>
      <c r="D4" s="9" t="s">
        <v>21</v>
      </c>
      <c r="O4" s="12">
        <v>6</v>
      </c>
      <c r="P4" s="12">
        <v>1</v>
      </c>
      <c r="Q4" s="9">
        <f>5+7+5+2+1+1+1</f>
        <v>22</v>
      </c>
      <c r="S4" s="27" t="s">
        <v>34</v>
      </c>
      <c r="T4" s="27">
        <f>AVERAGE(Q2:Q22)</f>
        <v>49.761904761904759</v>
      </c>
      <c r="U4" s="27">
        <f>AVERAGE(AB2:AB34)</f>
        <v>90.787878787878782</v>
      </c>
      <c r="V4" s="27">
        <f>((U4-T4)/T4)*100</f>
        <v>82.44454110482819</v>
      </c>
      <c r="W4" s="7" t="s">
        <v>42</v>
      </c>
      <c r="X4" s="9">
        <v>2</v>
      </c>
      <c r="Y4" s="9" t="s">
        <v>47</v>
      </c>
      <c r="Z4" s="9" t="s">
        <v>26</v>
      </c>
      <c r="AA4" s="12">
        <v>4</v>
      </c>
      <c r="AB4" s="9">
        <f>3+3+2+4+11+8+1+3+6+5</f>
        <v>46</v>
      </c>
      <c r="AD4" s="7" t="s">
        <v>69</v>
      </c>
      <c r="AE4" s="8">
        <v>1</v>
      </c>
      <c r="AF4" s="9" t="s">
        <v>70</v>
      </c>
      <c r="AG4" s="9" t="s">
        <v>73</v>
      </c>
      <c r="AH4" s="9">
        <f>32+35+39+40+32+38+34+33+46+30</f>
        <v>359</v>
      </c>
    </row>
    <row r="5" spans="1:34" x14ac:dyDescent="0.25">
      <c r="A5" s="7" t="s">
        <v>17</v>
      </c>
      <c r="B5" s="9">
        <v>4</v>
      </c>
      <c r="C5" s="9" t="s">
        <v>24</v>
      </c>
      <c r="D5" s="9" t="s">
        <v>21</v>
      </c>
      <c r="O5" s="12">
        <v>2</v>
      </c>
      <c r="P5" s="12">
        <v>1</v>
      </c>
      <c r="Q5" s="9">
        <f>6+7+3+9+10+8+14+16+15</f>
        <v>88</v>
      </c>
      <c r="S5" s="27" t="s">
        <v>35</v>
      </c>
      <c r="T5" s="27">
        <f>AVERAGE(Q23:Q43)</f>
        <v>54.142857142857146</v>
      </c>
      <c r="U5" s="27">
        <f>AVERAGE(AB35:AB67)</f>
        <v>22</v>
      </c>
      <c r="V5" s="27">
        <f t="shared" ref="V5:V6" si="0">((U5-T5)/T5)*100</f>
        <v>-59.366754617414252</v>
      </c>
      <c r="W5" s="7" t="s">
        <v>42</v>
      </c>
      <c r="X5" s="8">
        <v>3</v>
      </c>
      <c r="Y5" s="9" t="s">
        <v>48</v>
      </c>
      <c r="Z5" s="9" t="s">
        <v>43</v>
      </c>
      <c r="AA5" s="12">
        <v>8</v>
      </c>
      <c r="AB5" s="9">
        <f>14+23+21+24+26+24+31+31+31+22</f>
        <v>247</v>
      </c>
      <c r="AD5" s="7" t="s">
        <v>69</v>
      </c>
      <c r="AE5" s="9">
        <v>2</v>
      </c>
      <c r="AF5" s="9" t="s">
        <v>76</v>
      </c>
      <c r="AG5" s="9" t="s">
        <v>71</v>
      </c>
      <c r="AH5" s="9">
        <f>1+1+6+3+5+4+12+6+5</f>
        <v>43</v>
      </c>
    </row>
    <row r="6" spans="1:34" x14ac:dyDescent="0.25">
      <c r="A6" s="7" t="s">
        <v>17</v>
      </c>
      <c r="B6" s="9">
        <v>4</v>
      </c>
      <c r="C6" s="9" t="s">
        <v>24</v>
      </c>
      <c r="D6" s="9" t="s">
        <v>19</v>
      </c>
      <c r="O6" s="12">
        <v>7</v>
      </c>
      <c r="P6" s="12">
        <v>1</v>
      </c>
      <c r="Q6" s="9">
        <f>13+10+18+13+6+16+11+10+12+14</f>
        <v>123</v>
      </c>
      <c r="S6" s="27" t="s">
        <v>36</v>
      </c>
      <c r="T6" s="27">
        <f>AVERAGE(Q44:Q64)</f>
        <v>164.38095238095238</v>
      </c>
      <c r="U6" s="27">
        <f>AVERAGE(AB68:AB100)</f>
        <v>39.878787878787875</v>
      </c>
      <c r="V6" s="27">
        <f t="shared" si="0"/>
        <v>-75.740018961339942</v>
      </c>
      <c r="W6" s="7" t="s">
        <v>42</v>
      </c>
      <c r="X6" s="8">
        <v>3</v>
      </c>
      <c r="Y6" s="9" t="s">
        <v>48</v>
      </c>
      <c r="Z6" s="9" t="s">
        <v>44</v>
      </c>
      <c r="AA6" s="12">
        <v>2</v>
      </c>
      <c r="AB6" s="9">
        <f>11+14+19+21+15+13+15+13+3+7</f>
        <v>131</v>
      </c>
      <c r="AD6" s="7" t="s">
        <v>69</v>
      </c>
      <c r="AE6" s="9">
        <v>2</v>
      </c>
      <c r="AF6" s="9" t="s">
        <v>76</v>
      </c>
      <c r="AG6" s="9" t="s">
        <v>72</v>
      </c>
      <c r="AH6" s="9">
        <v>57</v>
      </c>
    </row>
    <row r="7" spans="1:34" x14ac:dyDescent="0.25">
      <c r="A7" s="7" t="s">
        <v>17</v>
      </c>
      <c r="B7" s="9">
        <v>4</v>
      </c>
      <c r="C7" s="9" t="s">
        <v>24</v>
      </c>
      <c r="D7" s="9" t="s">
        <v>20</v>
      </c>
      <c r="O7" s="12">
        <v>8</v>
      </c>
      <c r="P7" s="12">
        <v>1</v>
      </c>
      <c r="Q7" s="9">
        <f>18+5+10+14+4+4+8+12+10+7</f>
        <v>92</v>
      </c>
      <c r="W7" s="7" t="s">
        <v>42</v>
      </c>
      <c r="X7" s="8">
        <v>3</v>
      </c>
      <c r="Y7" s="9" t="s">
        <v>48</v>
      </c>
      <c r="Z7" s="9" t="s">
        <v>26</v>
      </c>
      <c r="AA7" s="12">
        <v>4</v>
      </c>
      <c r="AB7" s="9">
        <f>10+3+6+3+8+8+9+12+10+9</f>
        <v>78</v>
      </c>
      <c r="AD7" s="7" t="s">
        <v>69</v>
      </c>
      <c r="AE7" s="9">
        <v>2</v>
      </c>
      <c r="AF7" s="9" t="s">
        <v>76</v>
      </c>
      <c r="AG7" s="9" t="s">
        <v>73</v>
      </c>
      <c r="AH7" s="9">
        <f>6+7+5+6+11+6+10+6+9</f>
        <v>66</v>
      </c>
    </row>
    <row r="8" spans="1:34" x14ac:dyDescent="0.25">
      <c r="A8" s="7" t="s">
        <v>17</v>
      </c>
      <c r="B8" s="8">
        <v>5</v>
      </c>
      <c r="C8" s="9" t="s">
        <v>25</v>
      </c>
      <c r="D8" s="9" t="s">
        <v>20</v>
      </c>
      <c r="O8" s="12">
        <v>7</v>
      </c>
      <c r="P8" s="12">
        <v>1</v>
      </c>
      <c r="Q8" s="9">
        <f>1+3+1+1</f>
        <v>6</v>
      </c>
      <c r="W8" s="7" t="s">
        <v>42</v>
      </c>
      <c r="X8" s="9">
        <v>4</v>
      </c>
      <c r="Y8" s="9" t="s">
        <v>49</v>
      </c>
      <c r="Z8" s="9" t="s">
        <v>43</v>
      </c>
      <c r="AA8" s="12">
        <v>7</v>
      </c>
      <c r="AB8" s="9">
        <f>14+18+11+15+11+12+15+19+29+17</f>
        <v>161</v>
      </c>
      <c r="AD8" s="7" t="s">
        <v>69</v>
      </c>
      <c r="AE8" s="8">
        <v>3</v>
      </c>
      <c r="AF8" s="9" t="s">
        <v>77</v>
      </c>
      <c r="AG8" s="9" t="s">
        <v>71</v>
      </c>
      <c r="AH8" s="9">
        <v>117</v>
      </c>
    </row>
    <row r="9" spans="1:34" x14ac:dyDescent="0.25">
      <c r="A9" s="7" t="s">
        <v>17</v>
      </c>
      <c r="B9" s="8">
        <v>5</v>
      </c>
      <c r="C9" s="9" t="s">
        <v>25</v>
      </c>
      <c r="D9" s="9" t="s">
        <v>21</v>
      </c>
      <c r="O9" s="12">
        <v>8</v>
      </c>
      <c r="P9" s="12">
        <v>1</v>
      </c>
      <c r="Q9" s="9">
        <f>3+3+5+2+2+2+1+1+1</f>
        <v>20</v>
      </c>
      <c r="S9" s="27"/>
      <c r="T9" s="28">
        <v>41395</v>
      </c>
      <c r="U9" s="28">
        <v>41913</v>
      </c>
      <c r="V9" s="28" t="s">
        <v>63</v>
      </c>
      <c r="W9" s="7" t="s">
        <v>42</v>
      </c>
      <c r="X9" s="9">
        <v>4</v>
      </c>
      <c r="Y9" s="9" t="s">
        <v>49</v>
      </c>
      <c r="Z9" s="9" t="s">
        <v>44</v>
      </c>
      <c r="AA9" s="12">
        <v>4</v>
      </c>
      <c r="AB9" s="9">
        <f>28+9+4+6+5+12+10+18+14+11</f>
        <v>117</v>
      </c>
      <c r="AD9" s="7" t="s">
        <v>69</v>
      </c>
      <c r="AE9" s="8">
        <v>3</v>
      </c>
      <c r="AF9" s="9" t="s">
        <v>77</v>
      </c>
      <c r="AG9" s="9" t="s">
        <v>72</v>
      </c>
      <c r="AH9" s="9">
        <f>10+4+13+22+19+29+14+20</f>
        <v>131</v>
      </c>
    </row>
    <row r="10" spans="1:34" x14ac:dyDescent="0.25">
      <c r="A10" s="7" t="s">
        <v>17</v>
      </c>
      <c r="B10" s="8">
        <v>5</v>
      </c>
      <c r="C10" s="9" t="s">
        <v>25</v>
      </c>
      <c r="D10" s="9" t="s">
        <v>19</v>
      </c>
      <c r="O10" s="12">
        <v>2</v>
      </c>
      <c r="P10" s="12">
        <v>1</v>
      </c>
      <c r="Q10" s="9">
        <f>1+2+1+1+2+3+1+2+3+3</f>
        <v>19</v>
      </c>
      <c r="S10" s="27" t="s">
        <v>34</v>
      </c>
      <c r="T10" s="27">
        <f>AVERAGE(AH2:AH35)</f>
        <v>138.5</v>
      </c>
      <c r="U10" s="27">
        <f>AVERAGE(AB2:AB34)</f>
        <v>90.787878787878782</v>
      </c>
      <c r="V10" s="27">
        <f>((U10-T10)/T10)*100</f>
        <v>-34.449184990701241</v>
      </c>
      <c r="W10" s="7" t="s">
        <v>42</v>
      </c>
      <c r="X10" s="9">
        <v>4</v>
      </c>
      <c r="Y10" s="9" t="s">
        <v>49</v>
      </c>
      <c r="Z10" s="9" t="s">
        <v>26</v>
      </c>
      <c r="AA10" s="12">
        <v>2</v>
      </c>
      <c r="AB10" s="9">
        <f>4+6+2+5+11+15+14+14+19+19</f>
        <v>109</v>
      </c>
      <c r="AD10" s="7" t="s">
        <v>69</v>
      </c>
      <c r="AE10" s="8">
        <v>3</v>
      </c>
      <c r="AF10" s="9" t="s">
        <v>77</v>
      </c>
      <c r="AG10" s="9" t="s">
        <v>73</v>
      </c>
      <c r="AH10" s="9">
        <v>55</v>
      </c>
    </row>
    <row r="11" spans="1:34" x14ac:dyDescent="0.25">
      <c r="A11" s="7" t="s">
        <v>17</v>
      </c>
      <c r="B11" s="8">
        <v>10</v>
      </c>
      <c r="C11" s="9" t="s">
        <v>28</v>
      </c>
      <c r="D11" s="9" t="s">
        <v>19</v>
      </c>
      <c r="O11" s="12">
        <v>8</v>
      </c>
      <c r="P11" s="12">
        <v>2</v>
      </c>
      <c r="Q11" s="9">
        <v>58</v>
      </c>
      <c r="S11" s="27" t="s">
        <v>35</v>
      </c>
      <c r="T11" s="27">
        <f>AVERAGE(AH38:AH73)</f>
        <v>5.5555555555555552E-2</v>
      </c>
      <c r="U11" s="27">
        <f>AVERAGE(AB35:AB67)</f>
        <v>22</v>
      </c>
      <c r="V11" s="27">
        <f>((U11-T11)/T11)*100</f>
        <v>39500</v>
      </c>
      <c r="W11" s="7" t="s">
        <v>42</v>
      </c>
      <c r="X11" s="8">
        <v>5</v>
      </c>
      <c r="Y11" s="9" t="s">
        <v>50</v>
      </c>
      <c r="Z11" s="9" t="s">
        <v>43</v>
      </c>
      <c r="AA11" s="12">
        <v>3</v>
      </c>
      <c r="AB11" s="9">
        <v>247</v>
      </c>
      <c r="AD11" s="7" t="s">
        <v>69</v>
      </c>
      <c r="AE11" s="9">
        <v>4</v>
      </c>
      <c r="AF11" s="9" t="s">
        <v>78</v>
      </c>
      <c r="AG11" s="9" t="s">
        <v>71</v>
      </c>
      <c r="AH11" s="9">
        <f>23+16+14+19+30+29+33+30+29+22</f>
        <v>245</v>
      </c>
    </row>
    <row r="12" spans="1:34" x14ac:dyDescent="0.25">
      <c r="A12" s="7" t="s">
        <v>17</v>
      </c>
      <c r="B12" s="8">
        <v>10</v>
      </c>
      <c r="C12" s="9" t="s">
        <v>28</v>
      </c>
      <c r="D12" s="9" t="s">
        <v>20</v>
      </c>
      <c r="O12" s="12">
        <v>4</v>
      </c>
      <c r="P12" s="12">
        <v>2</v>
      </c>
      <c r="Q12" s="9">
        <v>73</v>
      </c>
      <c r="S12" s="27" t="s">
        <v>36</v>
      </c>
      <c r="T12" s="27">
        <f>AVERAGE(AH74:AH109)</f>
        <v>14.333333333333334</v>
      </c>
      <c r="U12" s="27">
        <f>AVERAGE(AB68:AB100)</f>
        <v>39.878787878787875</v>
      </c>
      <c r="V12" s="27">
        <f>((U12-T12)/T12)*100</f>
        <v>178.22410147991539</v>
      </c>
      <c r="W12" s="7" t="s">
        <v>42</v>
      </c>
      <c r="X12" s="8">
        <v>5</v>
      </c>
      <c r="Y12" s="9" t="s">
        <v>50</v>
      </c>
      <c r="Z12" s="9" t="s">
        <v>44</v>
      </c>
      <c r="AA12" s="12">
        <v>8</v>
      </c>
      <c r="AB12" s="9">
        <f>16+13+16+18+14+13+19+17+32+27</f>
        <v>185</v>
      </c>
      <c r="AD12" s="7" t="s">
        <v>69</v>
      </c>
      <c r="AE12" s="9">
        <v>4</v>
      </c>
      <c r="AF12" s="9" t="s">
        <v>78</v>
      </c>
      <c r="AG12" s="9" t="s">
        <v>72</v>
      </c>
      <c r="AH12" s="9">
        <v>406</v>
      </c>
    </row>
    <row r="13" spans="1:34" x14ac:dyDescent="0.25">
      <c r="A13" s="7" t="s">
        <v>17</v>
      </c>
      <c r="B13" s="8">
        <v>10</v>
      </c>
      <c r="C13" s="9" t="s">
        <v>28</v>
      </c>
      <c r="D13" s="9" t="s">
        <v>21</v>
      </c>
      <c r="O13" s="12">
        <v>1</v>
      </c>
      <c r="P13" s="12">
        <v>2</v>
      </c>
      <c r="Q13" s="9">
        <v>57</v>
      </c>
      <c r="W13" s="7" t="s">
        <v>42</v>
      </c>
      <c r="X13" s="8">
        <v>5</v>
      </c>
      <c r="Y13" s="9" t="s">
        <v>50</v>
      </c>
      <c r="Z13" s="9" t="s">
        <v>26</v>
      </c>
      <c r="AA13" s="12">
        <v>7</v>
      </c>
      <c r="AB13" s="9">
        <f>22+20+13+7+11+11+15+14+6+13</f>
        <v>132</v>
      </c>
      <c r="AD13" s="7" t="s">
        <v>69</v>
      </c>
      <c r="AE13" s="9">
        <v>4</v>
      </c>
      <c r="AF13" s="9" t="s">
        <v>78</v>
      </c>
      <c r="AG13" s="9" t="s">
        <v>73</v>
      </c>
      <c r="AH13" s="9">
        <f>21+17+20+25+29+40+22+31+24+20</f>
        <v>249</v>
      </c>
    </row>
    <row r="14" spans="1:34" x14ac:dyDescent="0.25">
      <c r="A14" s="7" t="s">
        <v>17</v>
      </c>
      <c r="B14" s="9">
        <v>11</v>
      </c>
      <c r="C14" s="9" t="s">
        <v>30</v>
      </c>
      <c r="D14" s="9" t="s">
        <v>19</v>
      </c>
      <c r="O14" s="12">
        <v>4</v>
      </c>
      <c r="P14" s="12">
        <v>1</v>
      </c>
      <c r="Q14" s="9">
        <f>4+1+0+3+0+1+4+4+6+7</f>
        <v>30</v>
      </c>
      <c r="W14" s="7" t="s">
        <v>42</v>
      </c>
      <c r="X14" s="9">
        <v>7</v>
      </c>
      <c r="Y14" s="9" t="s">
        <v>51</v>
      </c>
      <c r="Z14" s="9" t="s">
        <v>43</v>
      </c>
      <c r="AA14" s="12">
        <v>1</v>
      </c>
      <c r="AB14" s="9">
        <v>7</v>
      </c>
      <c r="AD14" s="7" t="s">
        <v>69</v>
      </c>
      <c r="AE14" s="8">
        <v>5</v>
      </c>
      <c r="AF14" s="9" t="s">
        <v>79</v>
      </c>
      <c r="AG14" s="9" t="s">
        <v>71</v>
      </c>
      <c r="AH14" s="9">
        <f>9+7+12+8+13+5+9+6+5+6</f>
        <v>80</v>
      </c>
    </row>
    <row r="15" spans="1:34" x14ac:dyDescent="0.25">
      <c r="A15" s="7" t="s">
        <v>17</v>
      </c>
      <c r="B15" s="9">
        <v>11</v>
      </c>
      <c r="C15" s="9" t="s">
        <v>30</v>
      </c>
      <c r="D15" s="9" t="s">
        <v>20</v>
      </c>
      <c r="O15" s="12">
        <v>7</v>
      </c>
      <c r="P15" s="12">
        <v>1</v>
      </c>
      <c r="Q15" s="9">
        <f>8+8+5+5+8+4+5+2+5+1</f>
        <v>51</v>
      </c>
      <c r="S15" s="29" t="s">
        <v>87</v>
      </c>
      <c r="T15" s="29"/>
      <c r="W15" s="7" t="s">
        <v>42</v>
      </c>
      <c r="X15" s="9">
        <v>7</v>
      </c>
      <c r="Y15" s="9" t="s">
        <v>51</v>
      </c>
      <c r="Z15" s="9" t="s">
        <v>44</v>
      </c>
      <c r="AA15" s="12">
        <v>8</v>
      </c>
      <c r="AB15" s="9">
        <v>0</v>
      </c>
      <c r="AD15" s="7" t="s">
        <v>69</v>
      </c>
      <c r="AE15" s="8">
        <v>5</v>
      </c>
      <c r="AF15" s="9" t="s">
        <v>79</v>
      </c>
      <c r="AG15" s="9" t="s">
        <v>72</v>
      </c>
      <c r="AH15" s="9">
        <f>33+26+20+16+16+16+6+6+10+5</f>
        <v>154</v>
      </c>
    </row>
    <row r="16" spans="1:34" ht="30" x14ac:dyDescent="0.25">
      <c r="A16" s="7" t="s">
        <v>17</v>
      </c>
      <c r="B16" s="9">
        <v>11</v>
      </c>
      <c r="C16" s="9" t="s">
        <v>30</v>
      </c>
      <c r="D16" s="9" t="s">
        <v>21</v>
      </c>
      <c r="O16" s="12">
        <v>2</v>
      </c>
      <c r="P16" s="12">
        <v>1</v>
      </c>
      <c r="Q16" s="9">
        <f>11+5+6+5+11+3+8+8+8+4</f>
        <v>69</v>
      </c>
      <c r="S16" s="29"/>
      <c r="T16" s="30" t="s">
        <v>88</v>
      </c>
      <c r="W16" s="7" t="s">
        <v>42</v>
      </c>
      <c r="X16" s="9">
        <v>7</v>
      </c>
      <c r="Y16" s="9" t="s">
        <v>51</v>
      </c>
      <c r="Z16" s="9" t="s">
        <v>26</v>
      </c>
      <c r="AA16" s="12">
        <v>9</v>
      </c>
      <c r="AB16" s="9">
        <v>0</v>
      </c>
      <c r="AD16" s="7" t="s">
        <v>69</v>
      </c>
      <c r="AE16" s="8">
        <v>5</v>
      </c>
      <c r="AF16" s="9" t="s">
        <v>79</v>
      </c>
      <c r="AG16" s="9" t="s">
        <v>73</v>
      </c>
      <c r="AH16" s="9">
        <f>5+8+5+7+13+6+6+12+6+7</f>
        <v>75</v>
      </c>
    </row>
    <row r="17" spans="1:34" x14ac:dyDescent="0.25">
      <c r="A17" s="7" t="s">
        <v>17</v>
      </c>
      <c r="B17" s="8">
        <v>12</v>
      </c>
      <c r="C17" s="9" t="s">
        <v>31</v>
      </c>
      <c r="D17" s="9" t="s">
        <v>19</v>
      </c>
      <c r="O17" s="12">
        <v>8</v>
      </c>
      <c r="P17" s="12">
        <v>1</v>
      </c>
      <c r="Q17" s="9">
        <f>1+4+5+2+4+3+5+6+3+3</f>
        <v>36</v>
      </c>
      <c r="S17" s="29" t="s">
        <v>34</v>
      </c>
      <c r="T17" s="29">
        <f>U4/T4</f>
        <v>1.8244454110482817</v>
      </c>
      <c r="W17" s="7" t="s">
        <v>42</v>
      </c>
      <c r="X17" s="8">
        <v>8</v>
      </c>
      <c r="Y17" s="9" t="s">
        <v>52</v>
      </c>
      <c r="Z17" s="9" t="s">
        <v>43</v>
      </c>
      <c r="AA17" s="12">
        <v>5</v>
      </c>
      <c r="AB17" s="9">
        <f>4+2+3+1+5</f>
        <v>15</v>
      </c>
      <c r="AD17" s="7" t="s">
        <v>69</v>
      </c>
      <c r="AE17" s="9">
        <v>7</v>
      </c>
      <c r="AF17" s="9" t="s">
        <v>80</v>
      </c>
      <c r="AG17" s="9" t="s">
        <v>71</v>
      </c>
      <c r="AH17" s="9">
        <f>1+1+1+3</f>
        <v>6</v>
      </c>
    </row>
    <row r="18" spans="1:34" x14ac:dyDescent="0.25">
      <c r="A18" s="7" t="s">
        <v>17</v>
      </c>
      <c r="B18" s="8">
        <v>12</v>
      </c>
      <c r="C18" s="9" t="s">
        <v>31</v>
      </c>
      <c r="D18" s="9" t="s">
        <v>20</v>
      </c>
      <c r="O18" s="12">
        <v>1</v>
      </c>
      <c r="P18" s="12">
        <v>1</v>
      </c>
      <c r="Q18" s="9">
        <f>0+1</f>
        <v>1</v>
      </c>
      <c r="S18" s="29" t="s">
        <v>35</v>
      </c>
      <c r="T18" s="29">
        <f t="shared" ref="T18:T19" si="1">U5/T5</f>
        <v>0.40633245382585748</v>
      </c>
      <c r="W18" s="7" t="s">
        <v>42</v>
      </c>
      <c r="X18" s="8">
        <v>8</v>
      </c>
      <c r="Y18" s="9" t="s">
        <v>52</v>
      </c>
      <c r="Z18" s="9" t="s">
        <v>44</v>
      </c>
      <c r="AA18" s="12">
        <v>7</v>
      </c>
      <c r="AB18" s="9">
        <v>0</v>
      </c>
      <c r="AD18" s="7" t="s">
        <v>69</v>
      </c>
      <c r="AE18" s="9">
        <v>7</v>
      </c>
      <c r="AF18" s="9" t="s">
        <v>80</v>
      </c>
      <c r="AG18" s="9" t="s">
        <v>72</v>
      </c>
      <c r="AH18" s="9">
        <f>3+1+2+3+1+3+2+3+2</f>
        <v>20</v>
      </c>
    </row>
    <row r="19" spans="1:34" x14ac:dyDescent="0.25">
      <c r="A19" s="7" t="s">
        <v>17</v>
      </c>
      <c r="B19" s="8">
        <v>12</v>
      </c>
      <c r="C19" s="9" t="s">
        <v>31</v>
      </c>
      <c r="D19" s="9" t="s">
        <v>21</v>
      </c>
      <c r="O19" s="12">
        <v>6</v>
      </c>
      <c r="P19" s="12">
        <v>1</v>
      </c>
      <c r="Q19" s="9">
        <f>18+9+4+3+5+11+6+7+9+7</f>
        <v>79</v>
      </c>
      <c r="S19" s="29" t="s">
        <v>36</v>
      </c>
      <c r="T19" s="29">
        <f t="shared" si="1"/>
        <v>0.24259981038660064</v>
      </c>
      <c r="W19" s="7" t="s">
        <v>42</v>
      </c>
      <c r="X19" s="8">
        <v>8</v>
      </c>
      <c r="Y19" s="9" t="s">
        <v>52</v>
      </c>
      <c r="Z19" s="9" t="s">
        <v>26</v>
      </c>
      <c r="AA19" s="12">
        <v>3</v>
      </c>
      <c r="AB19" s="9">
        <v>51</v>
      </c>
      <c r="AD19" s="7" t="s">
        <v>69</v>
      </c>
      <c r="AE19" s="9">
        <v>7</v>
      </c>
      <c r="AF19" s="9" t="s">
        <v>80</v>
      </c>
      <c r="AG19" s="9" t="s">
        <v>73</v>
      </c>
      <c r="AH19" s="9">
        <f>1+3+1+1+3+1</f>
        <v>10</v>
      </c>
    </row>
    <row r="20" spans="1:34" x14ac:dyDescent="0.25">
      <c r="A20" s="7" t="s">
        <v>17</v>
      </c>
      <c r="B20" s="9">
        <v>13</v>
      </c>
      <c r="C20" s="9" t="s">
        <v>32</v>
      </c>
      <c r="D20" s="9" t="s">
        <v>20</v>
      </c>
      <c r="O20" s="12">
        <v>8</v>
      </c>
      <c r="P20" s="12">
        <v>1</v>
      </c>
      <c r="Q20" s="9">
        <f>7+5+6+6+6+8+7+3+2+5</f>
        <v>55</v>
      </c>
      <c r="W20" s="21" t="s">
        <v>34</v>
      </c>
      <c r="X20" s="9">
        <v>9</v>
      </c>
      <c r="Y20" s="9" t="s">
        <v>53</v>
      </c>
      <c r="Z20" s="9" t="s">
        <v>59</v>
      </c>
      <c r="AA20" s="12">
        <v>4</v>
      </c>
      <c r="AB20" s="9">
        <v>0</v>
      </c>
      <c r="AD20" s="7" t="s">
        <v>69</v>
      </c>
      <c r="AE20" s="8">
        <v>8</v>
      </c>
      <c r="AF20" s="9" t="s">
        <v>81</v>
      </c>
      <c r="AG20" s="9" t="s">
        <v>71</v>
      </c>
      <c r="AH20" s="9">
        <f>1+4+2+1</f>
        <v>8</v>
      </c>
    </row>
    <row r="21" spans="1:34" x14ac:dyDescent="0.25">
      <c r="A21" s="7" t="s">
        <v>17</v>
      </c>
      <c r="B21" s="9">
        <v>13</v>
      </c>
      <c r="C21" s="9" t="s">
        <v>32</v>
      </c>
      <c r="D21" s="9" t="s">
        <v>21</v>
      </c>
      <c r="O21" s="12">
        <v>5</v>
      </c>
      <c r="P21" s="12">
        <v>1</v>
      </c>
      <c r="Q21" s="9">
        <f>3+2+5+7+9+1+5+2+4+1</f>
        <v>39</v>
      </c>
      <c r="W21" s="21" t="s">
        <v>34</v>
      </c>
      <c r="X21" s="9">
        <v>9</v>
      </c>
      <c r="Y21" s="9" t="s">
        <v>53</v>
      </c>
      <c r="Z21" s="9" t="s">
        <v>60</v>
      </c>
      <c r="AA21" s="12">
        <v>5</v>
      </c>
      <c r="AB21" s="9">
        <v>10</v>
      </c>
      <c r="AD21" s="7" t="s">
        <v>69</v>
      </c>
      <c r="AE21" s="8">
        <v>8</v>
      </c>
      <c r="AF21" s="9" t="s">
        <v>81</v>
      </c>
      <c r="AG21" s="9" t="s">
        <v>72</v>
      </c>
      <c r="AH21" s="9">
        <f>1+2+1+2+4+1</f>
        <v>11</v>
      </c>
    </row>
    <row r="22" spans="1:34" x14ac:dyDescent="0.25">
      <c r="A22" s="7" t="s">
        <v>17</v>
      </c>
      <c r="B22" s="9">
        <v>13</v>
      </c>
      <c r="C22" s="9" t="s">
        <v>32</v>
      </c>
      <c r="D22" s="9" t="s">
        <v>19</v>
      </c>
      <c r="O22" s="12">
        <v>3</v>
      </c>
      <c r="P22" s="12">
        <v>1</v>
      </c>
      <c r="Q22" s="9">
        <f>1+2+3+3+3+5+2+3+2</f>
        <v>24</v>
      </c>
      <c r="W22" s="21" t="s">
        <v>34</v>
      </c>
      <c r="X22" s="9">
        <v>9</v>
      </c>
      <c r="Y22" s="9" t="s">
        <v>53</v>
      </c>
      <c r="Z22" s="9" t="s">
        <v>61</v>
      </c>
      <c r="AA22" s="12">
        <v>7</v>
      </c>
      <c r="AB22" s="9">
        <v>0</v>
      </c>
      <c r="AD22" s="7" t="s">
        <v>69</v>
      </c>
      <c r="AE22" s="8">
        <v>8</v>
      </c>
      <c r="AF22" s="9" t="s">
        <v>81</v>
      </c>
      <c r="AG22" s="9" t="s">
        <v>73</v>
      </c>
      <c r="AH22" s="9">
        <v>0</v>
      </c>
    </row>
    <row r="23" spans="1:34" x14ac:dyDescent="0.25">
      <c r="A23" s="13" t="s">
        <v>22</v>
      </c>
      <c r="B23" s="8">
        <v>3</v>
      </c>
      <c r="C23" s="14" t="s">
        <v>18</v>
      </c>
      <c r="D23" s="14" t="s">
        <v>21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>
        <v>7</v>
      </c>
      <c r="P23" s="14">
        <v>1</v>
      </c>
      <c r="Q23" s="14">
        <f>0+2+2+5+2+2+4+2+3+3</f>
        <v>25</v>
      </c>
      <c r="W23" s="7" t="s">
        <v>42</v>
      </c>
      <c r="X23" s="8">
        <v>10</v>
      </c>
      <c r="Y23" s="9" t="s">
        <v>54</v>
      </c>
      <c r="Z23" s="9" t="s">
        <v>43</v>
      </c>
      <c r="AA23" s="12">
        <v>5</v>
      </c>
      <c r="AB23" s="9">
        <f>22+9+16+22+20+23+31+29+21+26</f>
        <v>219</v>
      </c>
      <c r="AD23" s="7" t="s">
        <v>69</v>
      </c>
      <c r="AE23" s="9">
        <v>9</v>
      </c>
      <c r="AF23" s="9" t="s">
        <v>82</v>
      </c>
      <c r="AG23" s="9" t="s">
        <v>71</v>
      </c>
      <c r="AH23" s="9">
        <v>41</v>
      </c>
    </row>
    <row r="24" spans="1:34" x14ac:dyDescent="0.25">
      <c r="A24" s="13" t="s">
        <v>22</v>
      </c>
      <c r="B24" s="8">
        <v>3</v>
      </c>
      <c r="C24" s="14" t="s">
        <v>18</v>
      </c>
      <c r="D24" s="14" t="s">
        <v>19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>
        <v>3</v>
      </c>
      <c r="P24" s="14">
        <v>1</v>
      </c>
      <c r="Q24" s="14">
        <f>1+1+1+3</f>
        <v>6</v>
      </c>
      <c r="W24" s="7" t="s">
        <v>42</v>
      </c>
      <c r="X24" s="8">
        <v>10</v>
      </c>
      <c r="Y24" s="9" t="s">
        <v>54</v>
      </c>
      <c r="Z24" s="9" t="s">
        <v>44</v>
      </c>
      <c r="AA24" s="12">
        <v>8</v>
      </c>
      <c r="AB24" s="9">
        <f>18+25+16+11+13+10+7+9+15+20</f>
        <v>144</v>
      </c>
      <c r="AD24" s="7" t="s">
        <v>69</v>
      </c>
      <c r="AE24" s="9">
        <v>9</v>
      </c>
      <c r="AF24" s="9" t="s">
        <v>82</v>
      </c>
      <c r="AG24" s="9" t="s">
        <v>72</v>
      </c>
      <c r="AH24" s="9">
        <v>29</v>
      </c>
    </row>
    <row r="25" spans="1:34" x14ac:dyDescent="0.25">
      <c r="A25" s="13" t="s">
        <v>22</v>
      </c>
      <c r="B25" s="8">
        <v>3</v>
      </c>
      <c r="C25" s="14" t="s">
        <v>18</v>
      </c>
      <c r="D25" s="14" t="s">
        <v>20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</v>
      </c>
      <c r="P25" s="14">
        <v>1</v>
      </c>
      <c r="Q25" s="14">
        <f>1+1+5+2+2</f>
        <v>11</v>
      </c>
      <c r="W25" s="7" t="s">
        <v>42</v>
      </c>
      <c r="X25" s="8">
        <v>10</v>
      </c>
      <c r="Y25" s="9" t="s">
        <v>54</v>
      </c>
      <c r="Z25" s="9" t="s">
        <v>26</v>
      </c>
      <c r="AA25" s="12">
        <v>3</v>
      </c>
      <c r="AB25" s="9">
        <v>68</v>
      </c>
      <c r="AD25" s="7" t="s">
        <v>69</v>
      </c>
      <c r="AE25" s="9">
        <v>9</v>
      </c>
      <c r="AF25" s="9" t="s">
        <v>82</v>
      </c>
      <c r="AG25" s="9" t="s">
        <v>73</v>
      </c>
      <c r="AH25" s="9">
        <f>1+1+2+2+2+3</f>
        <v>11</v>
      </c>
    </row>
    <row r="26" spans="1:34" x14ac:dyDescent="0.25">
      <c r="A26" s="13" t="s">
        <v>22</v>
      </c>
      <c r="B26" s="14">
        <v>4</v>
      </c>
      <c r="C26" s="14" t="s">
        <v>24</v>
      </c>
      <c r="D26" s="14" t="s">
        <v>19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2">
        <v>5</v>
      </c>
      <c r="P26" s="12">
        <v>1</v>
      </c>
      <c r="Q26" s="14">
        <f>12+0+10+13+18+8+8+16+9+22</f>
        <v>116</v>
      </c>
      <c r="W26" s="7" t="s">
        <v>42</v>
      </c>
      <c r="X26" s="9">
        <v>11</v>
      </c>
      <c r="Y26" s="9" t="s">
        <v>55</v>
      </c>
      <c r="Z26" s="9" t="s">
        <v>43</v>
      </c>
      <c r="AA26" s="12">
        <v>2</v>
      </c>
      <c r="AB26" s="9">
        <f>8+10+11+9+10+7+9+5+1+12</f>
        <v>82</v>
      </c>
      <c r="AD26" s="7" t="s">
        <v>69</v>
      </c>
      <c r="AE26" s="8">
        <v>10</v>
      </c>
      <c r="AF26" s="9" t="s">
        <v>83</v>
      </c>
      <c r="AG26" s="9" t="s">
        <v>71</v>
      </c>
      <c r="AH26" s="9">
        <v>249</v>
      </c>
    </row>
    <row r="27" spans="1:34" x14ac:dyDescent="0.25">
      <c r="A27" s="13" t="s">
        <v>22</v>
      </c>
      <c r="B27" s="14">
        <v>4</v>
      </c>
      <c r="C27" s="14" t="s">
        <v>24</v>
      </c>
      <c r="D27" s="14" t="s">
        <v>20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2">
        <v>6</v>
      </c>
      <c r="P27" s="12">
        <v>1</v>
      </c>
      <c r="Q27" s="14">
        <f>15+11+8+12+19+11+16+9+6+12</f>
        <v>119</v>
      </c>
      <c r="W27" s="7" t="s">
        <v>42</v>
      </c>
      <c r="X27" s="9">
        <v>11</v>
      </c>
      <c r="Y27" s="9" t="s">
        <v>55</v>
      </c>
      <c r="Z27" s="9" t="s">
        <v>44</v>
      </c>
      <c r="AA27" s="12">
        <v>4</v>
      </c>
      <c r="AB27" s="9">
        <f>14+11+8+4+8+12+10+4+7+13</f>
        <v>91</v>
      </c>
      <c r="AD27" s="7" t="s">
        <v>69</v>
      </c>
      <c r="AE27" s="8">
        <v>10</v>
      </c>
      <c r="AF27" s="9" t="s">
        <v>83</v>
      </c>
      <c r="AG27" s="9" t="s">
        <v>72</v>
      </c>
      <c r="AH27" s="9">
        <f>18+23+26+24+21+18+16+20+22+15</f>
        <v>203</v>
      </c>
    </row>
    <row r="28" spans="1:34" x14ac:dyDescent="0.25">
      <c r="A28" s="13" t="s">
        <v>22</v>
      </c>
      <c r="B28" s="14">
        <v>4</v>
      </c>
      <c r="C28" s="14" t="s">
        <v>24</v>
      </c>
      <c r="D28" s="14" t="s">
        <v>21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2">
        <v>3</v>
      </c>
      <c r="P28" s="12">
        <v>1</v>
      </c>
      <c r="Q28" s="14">
        <f>18+27+28+17+26+18+29+22+16+17</f>
        <v>218</v>
      </c>
      <c r="W28" s="7" t="s">
        <v>42</v>
      </c>
      <c r="X28" s="9">
        <v>11</v>
      </c>
      <c r="Y28" s="9" t="s">
        <v>55</v>
      </c>
      <c r="Z28" s="9" t="s">
        <v>26</v>
      </c>
      <c r="AA28" s="12">
        <v>7</v>
      </c>
      <c r="AB28" s="9">
        <f>9+3+4+4+16+9+9+8+5+6</f>
        <v>73</v>
      </c>
      <c r="AD28" s="7" t="s">
        <v>69</v>
      </c>
      <c r="AE28" s="8">
        <v>10</v>
      </c>
      <c r="AF28" s="9" t="s">
        <v>83</v>
      </c>
      <c r="AG28" s="9" t="s">
        <v>73</v>
      </c>
      <c r="AH28" s="9">
        <v>195</v>
      </c>
    </row>
    <row r="29" spans="1:34" x14ac:dyDescent="0.25">
      <c r="A29" s="13" t="s">
        <v>22</v>
      </c>
      <c r="B29" s="8">
        <v>5</v>
      </c>
      <c r="C29" s="14" t="s">
        <v>25</v>
      </c>
      <c r="D29" s="14" t="s">
        <v>19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2">
        <v>2</v>
      </c>
      <c r="P29" s="12">
        <v>1</v>
      </c>
      <c r="Q29" s="14">
        <f>55</f>
        <v>55</v>
      </c>
      <c r="W29" s="7" t="s">
        <v>42</v>
      </c>
      <c r="X29" s="8">
        <v>12</v>
      </c>
      <c r="Y29" s="9" t="s">
        <v>56</v>
      </c>
      <c r="Z29" s="9" t="s">
        <v>43</v>
      </c>
      <c r="AA29" s="12">
        <v>2</v>
      </c>
      <c r="AB29" s="9">
        <f>2+17+13+18+3+13+13+12+10+15</f>
        <v>116</v>
      </c>
      <c r="AD29" s="7" t="s">
        <v>69</v>
      </c>
      <c r="AE29" s="9">
        <v>11</v>
      </c>
      <c r="AF29" s="9" t="s">
        <v>84</v>
      </c>
      <c r="AG29" s="9" t="s">
        <v>71</v>
      </c>
      <c r="AH29" s="9">
        <f>3+6+6+3+1+2+2+2+9+9</f>
        <v>43</v>
      </c>
    </row>
    <row r="30" spans="1:34" x14ac:dyDescent="0.25">
      <c r="A30" s="13" t="s">
        <v>22</v>
      </c>
      <c r="B30" s="8">
        <v>5</v>
      </c>
      <c r="C30" s="14" t="s">
        <v>25</v>
      </c>
      <c r="D30" s="14" t="s">
        <v>20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2">
        <v>1</v>
      </c>
      <c r="P30" s="12">
        <v>1</v>
      </c>
      <c r="Q30" s="14">
        <f>45</f>
        <v>45</v>
      </c>
      <c r="W30" s="7" t="s">
        <v>42</v>
      </c>
      <c r="X30" s="8">
        <v>12</v>
      </c>
      <c r="Y30" s="9" t="s">
        <v>56</v>
      </c>
      <c r="Z30" s="9" t="s">
        <v>44</v>
      </c>
      <c r="AA30" s="12">
        <v>6</v>
      </c>
      <c r="AB30" s="9">
        <f>12+13+10+7+9+2+10+7+5+9</f>
        <v>84</v>
      </c>
      <c r="AD30" s="7" t="s">
        <v>69</v>
      </c>
      <c r="AE30" s="9">
        <v>11</v>
      </c>
      <c r="AF30" s="9" t="s">
        <v>84</v>
      </c>
      <c r="AG30" s="9" t="s">
        <v>72</v>
      </c>
      <c r="AH30" s="9">
        <f>28+17+27+25+31+37+25+16+19+21</f>
        <v>246</v>
      </c>
    </row>
    <row r="31" spans="1:34" x14ac:dyDescent="0.25">
      <c r="A31" s="13" t="s">
        <v>22</v>
      </c>
      <c r="B31" s="8">
        <v>5</v>
      </c>
      <c r="C31" s="14" t="s">
        <v>25</v>
      </c>
      <c r="D31" s="14" t="s">
        <v>26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2">
        <v>5</v>
      </c>
      <c r="P31" s="12">
        <v>1</v>
      </c>
      <c r="Q31" s="14">
        <f>3+5+4+1+1+1+1</f>
        <v>16</v>
      </c>
      <c r="W31" s="7" t="s">
        <v>42</v>
      </c>
      <c r="X31" s="8">
        <v>12</v>
      </c>
      <c r="Y31" s="9" t="s">
        <v>56</v>
      </c>
      <c r="Z31" s="9" t="s">
        <v>26</v>
      </c>
      <c r="AA31" s="12">
        <v>8</v>
      </c>
      <c r="AB31" s="9">
        <f>8+8+6+10+8+2+8+13+8+4</f>
        <v>75</v>
      </c>
      <c r="AD31" s="7" t="s">
        <v>69</v>
      </c>
      <c r="AE31" s="9">
        <v>11</v>
      </c>
      <c r="AF31" s="9" t="s">
        <v>84</v>
      </c>
      <c r="AG31" s="9" t="s">
        <v>73</v>
      </c>
      <c r="AH31" s="9">
        <v>177</v>
      </c>
    </row>
    <row r="32" spans="1:34" x14ac:dyDescent="0.25">
      <c r="A32" s="13" t="s">
        <v>22</v>
      </c>
      <c r="B32" s="8">
        <v>10</v>
      </c>
      <c r="C32" s="14" t="s">
        <v>28</v>
      </c>
      <c r="D32" s="14" t="s">
        <v>19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2">
        <v>4</v>
      </c>
      <c r="P32" s="12">
        <v>1</v>
      </c>
      <c r="Q32" s="14">
        <f>1+2+3+5+1+2+1+1+3</f>
        <v>19</v>
      </c>
      <c r="W32" s="7" t="s">
        <v>42</v>
      </c>
      <c r="X32" s="9">
        <v>13</v>
      </c>
      <c r="Y32" s="9" t="s">
        <v>57</v>
      </c>
      <c r="Z32" s="9" t="s">
        <v>43</v>
      </c>
      <c r="AA32" s="12">
        <v>2</v>
      </c>
      <c r="AB32" s="9">
        <f>18+19+13+21+13+12+16+16+28+20</f>
        <v>176</v>
      </c>
      <c r="AD32" s="7" t="s">
        <v>69</v>
      </c>
      <c r="AE32" s="8">
        <v>12</v>
      </c>
      <c r="AF32" s="9" t="s">
        <v>85</v>
      </c>
      <c r="AG32" s="9" t="s">
        <v>71</v>
      </c>
      <c r="AH32" s="9">
        <f>21+28+27+31+14+31+32+36+38+39</f>
        <v>297</v>
      </c>
    </row>
    <row r="33" spans="1:34" x14ac:dyDescent="0.25">
      <c r="A33" s="13" t="s">
        <v>22</v>
      </c>
      <c r="B33" s="8">
        <v>10</v>
      </c>
      <c r="C33" s="14" t="s">
        <v>28</v>
      </c>
      <c r="D33" s="14" t="s">
        <v>20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2">
        <v>5</v>
      </c>
      <c r="P33" s="12">
        <v>1</v>
      </c>
      <c r="Q33" s="14">
        <f>2+2+1+2+2+4+4+1+1+6</f>
        <v>25</v>
      </c>
      <c r="W33" s="7" t="s">
        <v>42</v>
      </c>
      <c r="X33" s="9">
        <v>13</v>
      </c>
      <c r="Y33" s="9" t="s">
        <v>57</v>
      </c>
      <c r="Z33" s="9" t="s">
        <v>44</v>
      </c>
      <c r="AA33" s="12">
        <v>3</v>
      </c>
      <c r="AB33" s="9">
        <f>19+22+22+21+17+19+20+17+25+23</f>
        <v>205</v>
      </c>
      <c r="AD33" s="7" t="s">
        <v>69</v>
      </c>
      <c r="AE33" s="8">
        <v>12</v>
      </c>
      <c r="AF33" s="9" t="s">
        <v>85</v>
      </c>
      <c r="AG33" s="9" t="s">
        <v>72</v>
      </c>
      <c r="AH33" s="9">
        <v>146</v>
      </c>
    </row>
    <row r="34" spans="1:34" x14ac:dyDescent="0.25">
      <c r="A34" s="13" t="s">
        <v>22</v>
      </c>
      <c r="B34" s="8">
        <v>10</v>
      </c>
      <c r="C34" s="14" t="s">
        <v>28</v>
      </c>
      <c r="D34" s="14" t="s">
        <v>21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2">
        <v>3</v>
      </c>
      <c r="P34" s="12">
        <v>1</v>
      </c>
      <c r="Q34" s="14">
        <f>7+5+8+2+2+4+2+5+0+2</f>
        <v>37</v>
      </c>
      <c r="W34" s="7" t="s">
        <v>42</v>
      </c>
      <c r="X34" s="9">
        <v>13</v>
      </c>
      <c r="Y34" s="9" t="s">
        <v>57</v>
      </c>
      <c r="Z34" s="9" t="s">
        <v>26</v>
      </c>
      <c r="AA34" s="12">
        <v>1</v>
      </c>
      <c r="AB34" s="9">
        <f>3+5+5+4+3+5+5+4+5+5</f>
        <v>44</v>
      </c>
      <c r="AD34" s="7" t="s">
        <v>69</v>
      </c>
      <c r="AE34" s="8">
        <v>12</v>
      </c>
      <c r="AF34" s="9" t="s">
        <v>85</v>
      </c>
      <c r="AG34" s="9" t="s">
        <v>73</v>
      </c>
      <c r="AH34" s="9">
        <f>4+1+1+4+6+2+2+9+7+10</f>
        <v>46</v>
      </c>
    </row>
    <row r="35" spans="1:34" x14ac:dyDescent="0.25">
      <c r="A35" s="13" t="s">
        <v>22</v>
      </c>
      <c r="B35" s="14">
        <v>11</v>
      </c>
      <c r="C35" s="14" t="s">
        <v>30</v>
      </c>
      <c r="D35" s="14" t="s">
        <v>19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2">
        <v>3</v>
      </c>
      <c r="P35" s="12">
        <v>1</v>
      </c>
      <c r="Q35" s="14">
        <f>14+14+6+6+4+0+6+9+1+3</f>
        <v>63</v>
      </c>
      <c r="W35" s="13" t="s">
        <v>45</v>
      </c>
      <c r="X35" s="14">
        <v>2</v>
      </c>
      <c r="Y35" s="14" t="s">
        <v>47</v>
      </c>
      <c r="Z35" s="14" t="s">
        <v>43</v>
      </c>
      <c r="AA35" s="12">
        <v>2</v>
      </c>
      <c r="AB35" s="9">
        <f>5+3+3+1+1+1</f>
        <v>14</v>
      </c>
      <c r="AD35" s="7" t="s">
        <v>69</v>
      </c>
      <c r="AE35" s="9">
        <v>13</v>
      </c>
      <c r="AF35" s="9" t="s">
        <v>86</v>
      </c>
      <c r="AG35" s="9" t="s">
        <v>71</v>
      </c>
      <c r="AH35" s="9">
        <f>4+7+2+7+8+10+9+9+4+5</f>
        <v>65</v>
      </c>
    </row>
    <row r="36" spans="1:34" x14ac:dyDescent="0.25">
      <c r="A36" s="13" t="s">
        <v>22</v>
      </c>
      <c r="B36" s="14">
        <v>11</v>
      </c>
      <c r="C36" s="14" t="s">
        <v>30</v>
      </c>
      <c r="D36" s="14" t="s">
        <v>20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2">
        <v>5</v>
      </c>
      <c r="P36" s="12">
        <v>1</v>
      </c>
      <c r="Q36" s="14">
        <f>15+20+6+13+13+10+20+15+19+27</f>
        <v>158</v>
      </c>
      <c r="W36" s="13" t="s">
        <v>45</v>
      </c>
      <c r="X36" s="14">
        <v>2</v>
      </c>
      <c r="Y36" s="14" t="s">
        <v>47</v>
      </c>
      <c r="Z36" s="14" t="s">
        <v>44</v>
      </c>
      <c r="AA36" s="12">
        <v>5</v>
      </c>
      <c r="AB36" s="9">
        <f>6+3+2+1</f>
        <v>12</v>
      </c>
      <c r="AD36" s="25" t="s">
        <v>69</v>
      </c>
      <c r="AE36" s="26">
        <v>13</v>
      </c>
      <c r="AF36" s="26" t="s">
        <v>86</v>
      </c>
      <c r="AG36" s="26" t="s">
        <v>72</v>
      </c>
      <c r="AH36" s="26"/>
    </row>
    <row r="37" spans="1:34" x14ac:dyDescent="0.25">
      <c r="A37" s="13" t="s">
        <v>22</v>
      </c>
      <c r="B37" s="14">
        <v>11</v>
      </c>
      <c r="C37" s="14" t="s">
        <v>30</v>
      </c>
      <c r="D37" s="14" t="s">
        <v>21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2">
        <v>6</v>
      </c>
      <c r="P37" s="12">
        <v>1</v>
      </c>
      <c r="Q37" s="14">
        <v>68</v>
      </c>
      <c r="W37" s="13" t="s">
        <v>45</v>
      </c>
      <c r="X37" s="14">
        <v>2</v>
      </c>
      <c r="Y37" s="14" t="s">
        <v>47</v>
      </c>
      <c r="Z37" s="14" t="s">
        <v>26</v>
      </c>
      <c r="AA37" s="12">
        <v>8</v>
      </c>
      <c r="AB37" s="9">
        <f>4+3+1</f>
        <v>8</v>
      </c>
      <c r="AD37" s="25" t="s">
        <v>69</v>
      </c>
      <c r="AE37" s="26">
        <v>13</v>
      </c>
      <c r="AF37" s="26" t="s">
        <v>86</v>
      </c>
      <c r="AG37" s="26" t="s">
        <v>73</v>
      </c>
      <c r="AH37" s="26"/>
    </row>
    <row r="38" spans="1:34" x14ac:dyDescent="0.25">
      <c r="A38" s="13" t="s">
        <v>22</v>
      </c>
      <c r="B38" s="8">
        <v>12</v>
      </c>
      <c r="C38" s="14" t="s">
        <v>31</v>
      </c>
      <c r="D38" s="14" t="s">
        <v>20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2">
        <v>2</v>
      </c>
      <c r="P38" s="12">
        <v>1</v>
      </c>
      <c r="Q38" s="14">
        <f>0+1+2+1+1+2+1+2+1</f>
        <v>11</v>
      </c>
      <c r="W38" s="13" t="s">
        <v>45</v>
      </c>
      <c r="X38" s="8">
        <v>3</v>
      </c>
      <c r="Y38" s="14" t="s">
        <v>48</v>
      </c>
      <c r="Z38" s="14" t="s">
        <v>43</v>
      </c>
      <c r="AA38" s="14">
        <v>7</v>
      </c>
      <c r="AB38" s="9">
        <v>0</v>
      </c>
      <c r="AD38" s="13" t="s">
        <v>74</v>
      </c>
      <c r="AE38" s="8">
        <v>1</v>
      </c>
      <c r="AF38" s="14" t="s">
        <v>70</v>
      </c>
      <c r="AG38" s="14" t="s">
        <v>71</v>
      </c>
      <c r="AH38" s="14">
        <v>0</v>
      </c>
    </row>
    <row r="39" spans="1:34" x14ac:dyDescent="0.25">
      <c r="A39" s="13" t="s">
        <v>22</v>
      </c>
      <c r="B39" s="8">
        <v>12</v>
      </c>
      <c r="C39" s="14" t="s">
        <v>31</v>
      </c>
      <c r="D39" s="14" t="s">
        <v>21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2">
        <v>3</v>
      </c>
      <c r="P39" s="12">
        <v>1</v>
      </c>
      <c r="Q39" s="14">
        <f>5+7+6+3+4+1+1+1+2+3</f>
        <v>33</v>
      </c>
      <c r="W39" s="13" t="s">
        <v>45</v>
      </c>
      <c r="X39" s="8">
        <v>3</v>
      </c>
      <c r="Y39" s="14" t="s">
        <v>48</v>
      </c>
      <c r="Z39" s="14" t="s">
        <v>44</v>
      </c>
      <c r="AA39" s="14">
        <v>9</v>
      </c>
      <c r="AB39" s="9">
        <v>0</v>
      </c>
      <c r="AD39" s="13" t="s">
        <v>74</v>
      </c>
      <c r="AE39" s="8">
        <v>1</v>
      </c>
      <c r="AF39" s="14" t="s">
        <v>70</v>
      </c>
      <c r="AG39" s="14" t="s">
        <v>72</v>
      </c>
      <c r="AH39" s="14">
        <v>0</v>
      </c>
    </row>
    <row r="40" spans="1:34" x14ac:dyDescent="0.25">
      <c r="A40" s="13" t="s">
        <v>22</v>
      </c>
      <c r="B40" s="8">
        <v>12</v>
      </c>
      <c r="C40" s="14" t="s">
        <v>31</v>
      </c>
      <c r="D40" s="14" t="s">
        <v>19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2">
        <v>8</v>
      </c>
      <c r="P40" s="12">
        <v>1</v>
      </c>
      <c r="Q40" s="14">
        <f>4+6+4+3+3+8+5+2+5+9</f>
        <v>49</v>
      </c>
      <c r="W40" s="13" t="s">
        <v>45</v>
      </c>
      <c r="X40" s="8">
        <v>3</v>
      </c>
      <c r="Y40" s="14" t="s">
        <v>48</v>
      </c>
      <c r="Z40" s="14" t="s">
        <v>26</v>
      </c>
      <c r="AA40" s="14">
        <v>3</v>
      </c>
      <c r="AB40" s="9">
        <v>0</v>
      </c>
      <c r="AD40" s="13" t="s">
        <v>74</v>
      </c>
      <c r="AE40" s="8">
        <v>1</v>
      </c>
      <c r="AF40" s="14" t="s">
        <v>70</v>
      </c>
      <c r="AG40" s="14" t="s">
        <v>73</v>
      </c>
      <c r="AH40" s="14">
        <v>0</v>
      </c>
    </row>
    <row r="41" spans="1:34" x14ac:dyDescent="0.25">
      <c r="A41" s="13" t="s">
        <v>22</v>
      </c>
      <c r="B41" s="14">
        <v>13</v>
      </c>
      <c r="C41" s="14" t="s">
        <v>32</v>
      </c>
      <c r="D41" s="14" t="s">
        <v>19</v>
      </c>
      <c r="E41" s="14"/>
      <c r="F41" s="14"/>
      <c r="G41" s="14"/>
      <c r="H41" s="14"/>
      <c r="I41" s="14"/>
      <c r="J41" s="14">
        <v>0</v>
      </c>
      <c r="K41" s="14"/>
      <c r="L41" s="14"/>
      <c r="M41" s="14"/>
      <c r="N41" s="14"/>
      <c r="O41" s="12">
        <v>5</v>
      </c>
      <c r="P41" s="12">
        <v>1</v>
      </c>
      <c r="Q41" s="14">
        <f>2+2+2+1+2+2+1+3+3</f>
        <v>18</v>
      </c>
      <c r="W41" s="13" t="s">
        <v>45</v>
      </c>
      <c r="X41" s="14">
        <v>4</v>
      </c>
      <c r="Y41" s="14" t="s">
        <v>49</v>
      </c>
      <c r="Z41" s="14" t="s">
        <v>43</v>
      </c>
      <c r="AA41" s="12">
        <v>2</v>
      </c>
      <c r="AB41" s="9">
        <f>5+3+8+5+4+4+5+4+12+9</f>
        <v>59</v>
      </c>
      <c r="AD41" s="13" t="s">
        <v>74</v>
      </c>
      <c r="AE41" s="14">
        <v>2</v>
      </c>
      <c r="AF41" s="14" t="s">
        <v>76</v>
      </c>
      <c r="AG41" s="14" t="s">
        <v>71</v>
      </c>
      <c r="AH41" s="14">
        <v>0</v>
      </c>
    </row>
    <row r="42" spans="1:34" x14ac:dyDescent="0.25">
      <c r="A42" s="13" t="s">
        <v>22</v>
      </c>
      <c r="B42" s="14">
        <v>13</v>
      </c>
      <c r="C42" s="14" t="s">
        <v>32</v>
      </c>
      <c r="D42" s="14" t="s">
        <v>20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2">
        <v>4</v>
      </c>
      <c r="P42" s="12">
        <v>1</v>
      </c>
      <c r="Q42" s="14">
        <f>5+4+2+1+1+5+2+2+2</f>
        <v>24</v>
      </c>
      <c r="W42" s="13" t="s">
        <v>45</v>
      </c>
      <c r="X42" s="14">
        <v>4</v>
      </c>
      <c r="Y42" s="14" t="s">
        <v>49</v>
      </c>
      <c r="Z42" s="14" t="s">
        <v>44</v>
      </c>
      <c r="AA42" s="12">
        <v>4</v>
      </c>
      <c r="AB42" s="9">
        <f>28+32+23+22+22+22+26+24+12+12</f>
        <v>223</v>
      </c>
      <c r="AD42" s="13" t="s">
        <v>74</v>
      </c>
      <c r="AE42" s="14">
        <v>2</v>
      </c>
      <c r="AF42" s="14" t="s">
        <v>76</v>
      </c>
      <c r="AG42" s="14" t="s">
        <v>72</v>
      </c>
      <c r="AH42" s="14">
        <v>0</v>
      </c>
    </row>
    <row r="43" spans="1:34" x14ac:dyDescent="0.25">
      <c r="A43" s="13" t="s">
        <v>22</v>
      </c>
      <c r="B43" s="14">
        <v>13</v>
      </c>
      <c r="C43" s="14" t="s">
        <v>32</v>
      </c>
      <c r="D43" s="14" t="s">
        <v>21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2">
        <v>7</v>
      </c>
      <c r="P43" s="12">
        <v>1</v>
      </c>
      <c r="Q43" s="14">
        <f>3+2+2+3+4+5+1+1</f>
        <v>21</v>
      </c>
      <c r="W43" s="13" t="s">
        <v>45</v>
      </c>
      <c r="X43" s="14">
        <v>4</v>
      </c>
      <c r="Y43" s="14" t="s">
        <v>49</v>
      </c>
      <c r="Z43" s="14" t="s">
        <v>26</v>
      </c>
      <c r="AA43" s="12">
        <v>5</v>
      </c>
      <c r="AB43" s="9">
        <f>22+30+22+20+22+43+37+23+19+16</f>
        <v>254</v>
      </c>
      <c r="AD43" s="13" t="s">
        <v>74</v>
      </c>
      <c r="AE43" s="14">
        <v>2</v>
      </c>
      <c r="AF43" s="14" t="s">
        <v>76</v>
      </c>
      <c r="AG43" s="14" t="s">
        <v>73</v>
      </c>
      <c r="AH43" s="14">
        <v>0</v>
      </c>
    </row>
    <row r="44" spans="1:34" x14ac:dyDescent="0.25">
      <c r="A44" s="15" t="s">
        <v>23</v>
      </c>
      <c r="B44" s="8">
        <v>3</v>
      </c>
      <c r="C44" s="9" t="s">
        <v>18</v>
      </c>
      <c r="D44" s="16" t="s">
        <v>19</v>
      </c>
      <c r="O44" s="12">
        <v>2</v>
      </c>
      <c r="P44" s="12">
        <v>1</v>
      </c>
      <c r="Q44" s="9">
        <v>161</v>
      </c>
      <c r="W44" s="13" t="s">
        <v>45</v>
      </c>
      <c r="X44" s="8">
        <v>5</v>
      </c>
      <c r="Y44" s="14" t="s">
        <v>50</v>
      </c>
      <c r="Z44" s="14" t="s">
        <v>43</v>
      </c>
      <c r="AA44" s="12">
        <v>8</v>
      </c>
      <c r="AB44" s="9">
        <f>1+2+5+2+6+3+5+8+1</f>
        <v>33</v>
      </c>
      <c r="AD44" s="13" t="s">
        <v>74</v>
      </c>
      <c r="AE44" s="8">
        <v>3</v>
      </c>
      <c r="AF44" s="14" t="s">
        <v>77</v>
      </c>
      <c r="AG44" s="14" t="s">
        <v>71</v>
      </c>
      <c r="AH44" s="14">
        <v>0</v>
      </c>
    </row>
    <row r="45" spans="1:34" x14ac:dyDescent="0.25">
      <c r="A45" s="15" t="s">
        <v>23</v>
      </c>
      <c r="B45" s="8">
        <v>3</v>
      </c>
      <c r="C45" s="9" t="s">
        <v>18</v>
      </c>
      <c r="D45" s="16" t="s">
        <v>20</v>
      </c>
      <c r="O45" s="12">
        <v>5</v>
      </c>
      <c r="P45" s="12">
        <v>1</v>
      </c>
      <c r="Q45" s="9">
        <v>127</v>
      </c>
      <c r="W45" s="13" t="s">
        <v>45</v>
      </c>
      <c r="X45" s="8">
        <v>5</v>
      </c>
      <c r="Y45" s="14" t="s">
        <v>50</v>
      </c>
      <c r="Z45" s="14" t="s">
        <v>44</v>
      </c>
      <c r="AA45" s="12">
        <v>1</v>
      </c>
      <c r="AB45" s="9">
        <v>14</v>
      </c>
      <c r="AD45" s="13" t="s">
        <v>74</v>
      </c>
      <c r="AE45" s="8">
        <v>3</v>
      </c>
      <c r="AF45" s="14" t="s">
        <v>77</v>
      </c>
      <c r="AG45" s="14" t="s">
        <v>72</v>
      </c>
      <c r="AH45" s="14">
        <v>0</v>
      </c>
    </row>
    <row r="46" spans="1:34" x14ac:dyDescent="0.25">
      <c r="A46" s="15" t="s">
        <v>23</v>
      </c>
      <c r="B46" s="8">
        <v>3</v>
      </c>
      <c r="C46" s="9" t="s">
        <v>18</v>
      </c>
      <c r="D46" s="16" t="s">
        <v>21</v>
      </c>
      <c r="O46" s="12">
        <v>7</v>
      </c>
      <c r="P46" s="12">
        <v>1</v>
      </c>
      <c r="Q46" s="9">
        <v>198</v>
      </c>
      <c r="W46" s="13" t="s">
        <v>45</v>
      </c>
      <c r="X46" s="8">
        <v>5</v>
      </c>
      <c r="Y46" s="14" t="s">
        <v>50</v>
      </c>
      <c r="Z46" s="14" t="s">
        <v>26</v>
      </c>
      <c r="AA46" s="12">
        <v>7</v>
      </c>
      <c r="AB46" s="9">
        <v>27</v>
      </c>
      <c r="AD46" s="13" t="s">
        <v>74</v>
      </c>
      <c r="AE46" s="8">
        <v>3</v>
      </c>
      <c r="AF46" s="14" t="s">
        <v>77</v>
      </c>
      <c r="AG46" s="14" t="s">
        <v>73</v>
      </c>
      <c r="AH46" s="14">
        <v>0</v>
      </c>
    </row>
    <row r="47" spans="1:34" x14ac:dyDescent="0.25">
      <c r="A47" s="15" t="s">
        <v>23</v>
      </c>
      <c r="B47" s="9">
        <v>4</v>
      </c>
      <c r="C47" s="9" t="s">
        <v>24</v>
      </c>
      <c r="D47" s="16" t="s">
        <v>19</v>
      </c>
      <c r="O47" s="12">
        <v>8</v>
      </c>
      <c r="P47" s="12">
        <v>1</v>
      </c>
      <c r="Q47" s="9">
        <v>189</v>
      </c>
      <c r="W47" s="13" t="s">
        <v>45</v>
      </c>
      <c r="X47" s="14">
        <v>7</v>
      </c>
      <c r="Y47" s="14" t="s">
        <v>51</v>
      </c>
      <c r="Z47" s="14" t="s">
        <v>43</v>
      </c>
      <c r="AA47" s="12">
        <v>3</v>
      </c>
      <c r="AB47" s="9">
        <v>0</v>
      </c>
      <c r="AD47" s="13" t="s">
        <v>74</v>
      </c>
      <c r="AE47" s="14">
        <v>4</v>
      </c>
      <c r="AF47" s="14" t="s">
        <v>78</v>
      </c>
      <c r="AG47" s="14" t="s">
        <v>71</v>
      </c>
      <c r="AH47" s="14">
        <v>0</v>
      </c>
    </row>
    <row r="48" spans="1:34" x14ac:dyDescent="0.25">
      <c r="A48" s="15" t="s">
        <v>23</v>
      </c>
      <c r="B48" s="9">
        <v>4</v>
      </c>
      <c r="C48" s="9" t="s">
        <v>24</v>
      </c>
      <c r="D48" s="16" t="s">
        <v>20</v>
      </c>
      <c r="O48" s="12">
        <v>7</v>
      </c>
      <c r="P48" s="12">
        <v>1</v>
      </c>
      <c r="Q48" s="9">
        <f>23+22+22+32+30+41+45+27+16+19</f>
        <v>277</v>
      </c>
      <c r="W48" s="13" t="s">
        <v>45</v>
      </c>
      <c r="X48" s="14">
        <v>7</v>
      </c>
      <c r="Y48" s="14" t="s">
        <v>51</v>
      </c>
      <c r="Z48" s="14" t="s">
        <v>44</v>
      </c>
      <c r="AA48" s="12">
        <v>9</v>
      </c>
      <c r="AB48" s="9">
        <v>0</v>
      </c>
      <c r="AD48" s="13" t="s">
        <v>74</v>
      </c>
      <c r="AE48" s="14">
        <v>4</v>
      </c>
      <c r="AF48" s="14" t="s">
        <v>78</v>
      </c>
      <c r="AG48" s="14" t="s">
        <v>72</v>
      </c>
      <c r="AH48" s="14">
        <v>0</v>
      </c>
    </row>
    <row r="49" spans="1:34" x14ac:dyDescent="0.25">
      <c r="A49" s="15" t="s">
        <v>23</v>
      </c>
      <c r="B49" s="9">
        <v>4</v>
      </c>
      <c r="C49" s="9" t="s">
        <v>24</v>
      </c>
      <c r="D49" s="16" t="s">
        <v>21</v>
      </c>
      <c r="O49" s="12">
        <v>2</v>
      </c>
      <c r="P49" s="12">
        <v>1</v>
      </c>
      <c r="Q49" s="9">
        <f>37+31+17+17+16+24+22+15+13</f>
        <v>192</v>
      </c>
      <c r="W49" s="13" t="s">
        <v>45</v>
      </c>
      <c r="X49" s="14">
        <v>7</v>
      </c>
      <c r="Y49" s="14" t="s">
        <v>51</v>
      </c>
      <c r="Z49" s="14" t="s">
        <v>26</v>
      </c>
      <c r="AA49" s="12">
        <v>5</v>
      </c>
      <c r="AB49" s="9">
        <v>0</v>
      </c>
      <c r="AD49" s="13" t="s">
        <v>74</v>
      </c>
      <c r="AE49" s="14">
        <v>4</v>
      </c>
      <c r="AF49" s="14" t="s">
        <v>78</v>
      </c>
      <c r="AG49" s="14" t="s">
        <v>73</v>
      </c>
      <c r="AH49" s="14">
        <v>0</v>
      </c>
    </row>
    <row r="50" spans="1:34" x14ac:dyDescent="0.25">
      <c r="A50" s="15" t="s">
        <v>23</v>
      </c>
      <c r="B50" s="8">
        <v>5</v>
      </c>
      <c r="C50" s="9" t="s">
        <v>25</v>
      </c>
      <c r="D50" s="16" t="s">
        <v>19</v>
      </c>
      <c r="O50" s="12">
        <v>7</v>
      </c>
      <c r="P50" s="12">
        <v>1</v>
      </c>
      <c r="Q50" s="9">
        <f>54</f>
        <v>54</v>
      </c>
      <c r="W50" s="13" t="s">
        <v>45</v>
      </c>
      <c r="X50" s="8">
        <v>8</v>
      </c>
      <c r="Y50" s="14" t="s">
        <v>52</v>
      </c>
      <c r="Z50" s="14" t="s">
        <v>43</v>
      </c>
      <c r="AA50" s="12">
        <v>4</v>
      </c>
      <c r="AB50" s="9">
        <v>0</v>
      </c>
      <c r="AD50" s="13" t="s">
        <v>74</v>
      </c>
      <c r="AE50" s="8">
        <v>5</v>
      </c>
      <c r="AF50" s="14" t="s">
        <v>79</v>
      </c>
      <c r="AG50" s="14" t="s">
        <v>71</v>
      </c>
      <c r="AH50" s="14">
        <v>0</v>
      </c>
    </row>
    <row r="51" spans="1:34" x14ac:dyDescent="0.25">
      <c r="A51" s="15" t="s">
        <v>23</v>
      </c>
      <c r="B51" s="8">
        <v>5</v>
      </c>
      <c r="C51" s="9" t="s">
        <v>25</v>
      </c>
      <c r="D51" s="16" t="s">
        <v>27</v>
      </c>
      <c r="O51" s="12">
        <v>5</v>
      </c>
      <c r="P51" s="12">
        <v>1</v>
      </c>
      <c r="Q51" s="9">
        <f>99</f>
        <v>99</v>
      </c>
      <c r="W51" s="13" t="s">
        <v>45</v>
      </c>
      <c r="X51" s="8">
        <v>8</v>
      </c>
      <c r="Y51" s="14" t="s">
        <v>52</v>
      </c>
      <c r="Z51" s="14" t="s">
        <v>44</v>
      </c>
      <c r="AA51" s="12">
        <v>6</v>
      </c>
      <c r="AB51" s="9">
        <v>0</v>
      </c>
      <c r="AD51" s="13" t="s">
        <v>74</v>
      </c>
      <c r="AE51" s="8">
        <v>5</v>
      </c>
      <c r="AF51" s="14" t="s">
        <v>79</v>
      </c>
      <c r="AG51" s="14" t="s">
        <v>72</v>
      </c>
      <c r="AH51" s="14">
        <v>0</v>
      </c>
    </row>
    <row r="52" spans="1:34" x14ac:dyDescent="0.25">
      <c r="A52" s="15" t="s">
        <v>23</v>
      </c>
      <c r="B52" s="8">
        <v>5</v>
      </c>
      <c r="C52" s="9" t="s">
        <v>25</v>
      </c>
      <c r="D52" s="16" t="s">
        <v>21</v>
      </c>
      <c r="O52" s="12">
        <v>2</v>
      </c>
      <c r="P52" s="12">
        <v>1</v>
      </c>
      <c r="Q52" s="9">
        <f>70</f>
        <v>70</v>
      </c>
      <c r="W52" s="13" t="s">
        <v>45</v>
      </c>
      <c r="X52" s="8">
        <v>8</v>
      </c>
      <c r="Y52" s="14" t="s">
        <v>52</v>
      </c>
      <c r="Z52" s="14" t="s">
        <v>26</v>
      </c>
      <c r="AA52" s="12">
        <v>8</v>
      </c>
      <c r="AB52" s="9">
        <v>0</v>
      </c>
      <c r="AD52" s="13" t="s">
        <v>74</v>
      </c>
      <c r="AE52" s="8">
        <v>5</v>
      </c>
      <c r="AF52" s="14" t="s">
        <v>79</v>
      </c>
      <c r="AG52" s="14" t="s">
        <v>73</v>
      </c>
      <c r="AH52" s="14">
        <v>0</v>
      </c>
    </row>
    <row r="53" spans="1:34" x14ac:dyDescent="0.25">
      <c r="A53" s="15" t="s">
        <v>23</v>
      </c>
      <c r="B53" s="8">
        <v>10</v>
      </c>
      <c r="C53" s="9" t="s">
        <v>28</v>
      </c>
      <c r="D53" s="16" t="s">
        <v>20</v>
      </c>
      <c r="O53" s="12">
        <v>6</v>
      </c>
      <c r="P53" s="12">
        <v>2</v>
      </c>
      <c r="Q53" s="9">
        <v>100</v>
      </c>
      <c r="W53" s="22" t="s">
        <v>35</v>
      </c>
      <c r="X53" s="9">
        <v>9</v>
      </c>
      <c r="Y53" s="9" t="s">
        <v>53</v>
      </c>
      <c r="Z53" s="14" t="s">
        <v>59</v>
      </c>
      <c r="AA53" s="12">
        <v>4</v>
      </c>
      <c r="AB53" s="9">
        <v>0</v>
      </c>
      <c r="AD53" s="13" t="s">
        <v>74</v>
      </c>
      <c r="AE53" s="14">
        <v>7</v>
      </c>
      <c r="AF53" s="14" t="s">
        <v>80</v>
      </c>
      <c r="AG53" s="14" t="s">
        <v>71</v>
      </c>
      <c r="AH53" s="14">
        <v>0</v>
      </c>
    </row>
    <row r="54" spans="1:34" x14ac:dyDescent="0.25">
      <c r="A54" s="15" t="s">
        <v>23</v>
      </c>
      <c r="B54" s="8">
        <v>10</v>
      </c>
      <c r="C54" s="9" t="s">
        <v>28</v>
      </c>
      <c r="D54" s="16" t="s">
        <v>29</v>
      </c>
      <c r="O54" s="12">
        <v>2</v>
      </c>
      <c r="P54" s="12">
        <v>1</v>
      </c>
      <c r="Q54" s="9">
        <v>264</v>
      </c>
      <c r="W54" s="22" t="s">
        <v>35</v>
      </c>
      <c r="X54" s="9">
        <v>9</v>
      </c>
      <c r="Y54" s="9" t="s">
        <v>53</v>
      </c>
      <c r="Z54" s="14" t="s">
        <v>60</v>
      </c>
      <c r="AA54" s="12">
        <v>3</v>
      </c>
      <c r="AB54" s="9">
        <v>1</v>
      </c>
      <c r="AD54" s="13" t="s">
        <v>74</v>
      </c>
      <c r="AE54" s="14">
        <v>7</v>
      </c>
      <c r="AF54" s="14" t="s">
        <v>80</v>
      </c>
      <c r="AG54" s="14" t="s">
        <v>72</v>
      </c>
      <c r="AH54" s="14">
        <v>0</v>
      </c>
    </row>
    <row r="55" spans="1:34" x14ac:dyDescent="0.25">
      <c r="A55" s="15" t="s">
        <v>23</v>
      </c>
      <c r="B55" s="8">
        <v>10</v>
      </c>
      <c r="C55" s="9" t="s">
        <v>28</v>
      </c>
      <c r="D55" s="16" t="s">
        <v>21</v>
      </c>
      <c r="O55" s="12">
        <v>1</v>
      </c>
      <c r="P55" s="12">
        <v>2</v>
      </c>
      <c r="Q55" s="9">
        <v>174</v>
      </c>
      <c r="W55" s="22" t="s">
        <v>35</v>
      </c>
      <c r="X55" s="9">
        <v>9</v>
      </c>
      <c r="Y55" s="9" t="s">
        <v>53</v>
      </c>
      <c r="Z55" s="14" t="s">
        <v>61</v>
      </c>
      <c r="AA55" s="12">
        <v>5</v>
      </c>
      <c r="AB55" s="9">
        <v>0</v>
      </c>
      <c r="AD55" s="13" t="s">
        <v>74</v>
      </c>
      <c r="AE55" s="14">
        <v>7</v>
      </c>
      <c r="AF55" s="14" t="s">
        <v>80</v>
      </c>
      <c r="AG55" s="14" t="s">
        <v>73</v>
      </c>
      <c r="AH55" s="14">
        <v>0</v>
      </c>
    </row>
    <row r="56" spans="1:34" x14ac:dyDescent="0.25">
      <c r="A56" s="15" t="s">
        <v>23</v>
      </c>
      <c r="B56" s="9">
        <v>11</v>
      </c>
      <c r="C56" s="9" t="s">
        <v>30</v>
      </c>
      <c r="D56" s="16" t="s">
        <v>19</v>
      </c>
      <c r="O56" s="12">
        <v>1</v>
      </c>
      <c r="P56" s="12">
        <v>2</v>
      </c>
      <c r="Q56" s="9">
        <v>210</v>
      </c>
      <c r="W56" s="13" t="s">
        <v>45</v>
      </c>
      <c r="X56" s="8">
        <v>10</v>
      </c>
      <c r="Y56" s="14" t="s">
        <v>54</v>
      </c>
      <c r="Z56" s="14" t="s">
        <v>43</v>
      </c>
      <c r="AA56" s="12">
        <v>9</v>
      </c>
      <c r="AB56" s="9">
        <v>0</v>
      </c>
      <c r="AD56" s="13" t="s">
        <v>74</v>
      </c>
      <c r="AE56" s="8">
        <v>8</v>
      </c>
      <c r="AF56" s="14" t="s">
        <v>81</v>
      </c>
      <c r="AG56" s="14" t="s">
        <v>71</v>
      </c>
      <c r="AH56" s="14">
        <v>0</v>
      </c>
    </row>
    <row r="57" spans="1:34" x14ac:dyDescent="0.25">
      <c r="A57" s="15" t="s">
        <v>23</v>
      </c>
      <c r="B57" s="9">
        <v>11</v>
      </c>
      <c r="C57" s="9" t="s">
        <v>30</v>
      </c>
      <c r="D57" s="16" t="s">
        <v>20</v>
      </c>
      <c r="O57" s="12">
        <v>5</v>
      </c>
      <c r="P57" s="12">
        <v>2</v>
      </c>
      <c r="Q57" s="9">
        <v>180</v>
      </c>
      <c r="W57" s="13" t="s">
        <v>45</v>
      </c>
      <c r="X57" s="8">
        <v>10</v>
      </c>
      <c r="Y57" s="14" t="s">
        <v>54</v>
      </c>
      <c r="Z57" s="14" t="s">
        <v>44</v>
      </c>
      <c r="AA57" s="12">
        <v>2</v>
      </c>
      <c r="AB57" s="9">
        <v>0</v>
      </c>
      <c r="AD57" s="13" t="s">
        <v>74</v>
      </c>
      <c r="AE57" s="8">
        <v>8</v>
      </c>
      <c r="AF57" s="14" t="s">
        <v>81</v>
      </c>
      <c r="AG57" s="14" t="s">
        <v>72</v>
      </c>
      <c r="AH57" s="14">
        <v>2</v>
      </c>
    </row>
    <row r="58" spans="1:34" x14ac:dyDescent="0.25">
      <c r="A58" s="15" t="s">
        <v>23</v>
      </c>
      <c r="B58" s="9">
        <v>11</v>
      </c>
      <c r="C58" s="9" t="s">
        <v>30</v>
      </c>
      <c r="D58" s="16" t="s">
        <v>21</v>
      </c>
      <c r="O58" s="12">
        <v>7</v>
      </c>
      <c r="P58" s="12">
        <v>2</v>
      </c>
      <c r="Q58" s="9">
        <v>114</v>
      </c>
      <c r="W58" s="13" t="s">
        <v>45</v>
      </c>
      <c r="X58" s="8">
        <v>10</v>
      </c>
      <c r="Y58" s="14" t="s">
        <v>54</v>
      </c>
      <c r="Z58" s="14" t="s">
        <v>26</v>
      </c>
      <c r="AA58" s="12">
        <v>8</v>
      </c>
      <c r="AB58" s="9">
        <v>0</v>
      </c>
      <c r="AD58" s="13" t="s">
        <v>74</v>
      </c>
      <c r="AE58" s="8">
        <v>8</v>
      </c>
      <c r="AF58" s="14" t="s">
        <v>81</v>
      </c>
      <c r="AG58" s="14" t="s">
        <v>73</v>
      </c>
      <c r="AH58" s="14">
        <v>0</v>
      </c>
    </row>
    <row r="59" spans="1:34" x14ac:dyDescent="0.25">
      <c r="A59" s="15" t="s">
        <v>23</v>
      </c>
      <c r="B59" s="8">
        <v>12</v>
      </c>
      <c r="C59" s="9" t="s">
        <v>31</v>
      </c>
      <c r="D59" s="16" t="s">
        <v>19</v>
      </c>
      <c r="O59" s="12">
        <v>1</v>
      </c>
      <c r="P59" s="12">
        <v>1</v>
      </c>
      <c r="Q59" s="9">
        <v>4</v>
      </c>
      <c r="W59" s="13" t="s">
        <v>45</v>
      </c>
      <c r="X59" s="14">
        <v>11</v>
      </c>
      <c r="Y59" s="14" t="s">
        <v>55</v>
      </c>
      <c r="Z59" s="14" t="s">
        <v>43</v>
      </c>
      <c r="AA59" s="12">
        <v>4</v>
      </c>
      <c r="AB59" s="9">
        <v>2</v>
      </c>
      <c r="AD59" s="13" t="s">
        <v>74</v>
      </c>
      <c r="AE59" s="14">
        <v>9</v>
      </c>
      <c r="AF59" s="14" t="s">
        <v>82</v>
      </c>
      <c r="AG59" s="14" t="s">
        <v>71</v>
      </c>
      <c r="AH59" s="14">
        <v>0</v>
      </c>
    </row>
    <row r="60" spans="1:34" x14ac:dyDescent="0.25">
      <c r="A60" s="15" t="s">
        <v>23</v>
      </c>
      <c r="B60" s="8">
        <v>12</v>
      </c>
      <c r="C60" s="9" t="s">
        <v>31</v>
      </c>
      <c r="D60" s="16" t="s">
        <v>20</v>
      </c>
      <c r="O60" s="12">
        <v>2</v>
      </c>
      <c r="P60" s="12">
        <v>1</v>
      </c>
      <c r="Q60" s="9">
        <v>24</v>
      </c>
      <c r="W60" s="13" t="s">
        <v>45</v>
      </c>
      <c r="X60" s="14">
        <v>11</v>
      </c>
      <c r="Y60" s="14" t="s">
        <v>55</v>
      </c>
      <c r="Z60" s="14" t="s">
        <v>44</v>
      </c>
      <c r="AA60" s="12">
        <v>2</v>
      </c>
      <c r="AB60" s="9">
        <v>10</v>
      </c>
      <c r="AD60" s="13" t="s">
        <v>74</v>
      </c>
      <c r="AE60" s="14">
        <v>9</v>
      </c>
      <c r="AF60" s="14" t="s">
        <v>82</v>
      </c>
      <c r="AG60" s="14" t="s">
        <v>72</v>
      </c>
      <c r="AH60" s="14">
        <v>0</v>
      </c>
    </row>
    <row r="61" spans="1:34" x14ac:dyDescent="0.25">
      <c r="A61" s="15" t="s">
        <v>23</v>
      </c>
      <c r="B61" s="8">
        <v>12</v>
      </c>
      <c r="C61" s="9" t="s">
        <v>31</v>
      </c>
      <c r="D61" s="16" t="s">
        <v>21</v>
      </c>
      <c r="O61" s="12">
        <v>5</v>
      </c>
      <c r="P61" s="12">
        <v>1</v>
      </c>
      <c r="Q61" s="9">
        <v>19</v>
      </c>
      <c r="W61" s="13" t="s">
        <v>45</v>
      </c>
      <c r="X61" s="14">
        <v>11</v>
      </c>
      <c r="Y61" s="14" t="s">
        <v>55</v>
      </c>
      <c r="Z61" s="14" t="s">
        <v>26</v>
      </c>
      <c r="AA61" s="12">
        <v>8</v>
      </c>
      <c r="AB61" s="9">
        <v>0</v>
      </c>
      <c r="AD61" s="13" t="s">
        <v>74</v>
      </c>
      <c r="AE61" s="14">
        <v>9</v>
      </c>
      <c r="AF61" s="14" t="s">
        <v>82</v>
      </c>
      <c r="AG61" s="14" t="s">
        <v>73</v>
      </c>
      <c r="AH61" s="14">
        <v>0</v>
      </c>
    </row>
    <row r="62" spans="1:34" x14ac:dyDescent="0.25">
      <c r="A62" s="15" t="s">
        <v>23</v>
      </c>
      <c r="B62" s="9">
        <v>13</v>
      </c>
      <c r="C62" s="9" t="s">
        <v>32</v>
      </c>
      <c r="D62" s="16" t="s">
        <v>19</v>
      </c>
      <c r="O62" s="12">
        <v>6</v>
      </c>
      <c r="P62" s="12">
        <v>1</v>
      </c>
      <c r="Q62" s="9">
        <v>300</v>
      </c>
      <c r="W62" s="13" t="s">
        <v>45</v>
      </c>
      <c r="X62" s="8">
        <v>12</v>
      </c>
      <c r="Y62" s="14" t="s">
        <v>56</v>
      </c>
      <c r="Z62" s="14" t="s">
        <v>43</v>
      </c>
      <c r="AA62" s="12">
        <v>8</v>
      </c>
      <c r="AB62" s="9">
        <v>0</v>
      </c>
      <c r="AD62" s="13" t="s">
        <v>74</v>
      </c>
      <c r="AE62" s="8">
        <v>10</v>
      </c>
      <c r="AF62" s="14" t="s">
        <v>83</v>
      </c>
      <c r="AG62" s="14" t="s">
        <v>71</v>
      </c>
      <c r="AH62" s="14">
        <v>0</v>
      </c>
    </row>
    <row r="63" spans="1:34" x14ac:dyDescent="0.25">
      <c r="A63" s="15" t="s">
        <v>23</v>
      </c>
      <c r="B63" s="9">
        <v>13</v>
      </c>
      <c r="C63" s="9" t="s">
        <v>32</v>
      </c>
      <c r="D63" s="16" t="s">
        <v>20</v>
      </c>
      <c r="O63" s="12">
        <v>9</v>
      </c>
      <c r="P63" s="12">
        <v>1</v>
      </c>
      <c r="Q63" s="9">
        <f>25+41+33+30+34+32+40+49+53+51</f>
        <v>388</v>
      </c>
      <c r="W63" s="13" t="s">
        <v>45</v>
      </c>
      <c r="X63" s="8">
        <v>12</v>
      </c>
      <c r="Y63" s="14" t="s">
        <v>56</v>
      </c>
      <c r="Z63" s="14" t="s">
        <v>44</v>
      </c>
      <c r="AA63" s="12">
        <v>1</v>
      </c>
      <c r="AB63" s="9">
        <f>3+8+3+2+7+7+6+2</f>
        <v>38</v>
      </c>
      <c r="AD63" s="13" t="s">
        <v>74</v>
      </c>
      <c r="AE63" s="8">
        <v>10</v>
      </c>
      <c r="AF63" s="14" t="s">
        <v>83</v>
      </c>
      <c r="AG63" s="14" t="s">
        <v>72</v>
      </c>
      <c r="AH63" s="14">
        <v>0</v>
      </c>
    </row>
    <row r="64" spans="1:34" x14ac:dyDescent="0.25">
      <c r="A64" s="15" t="s">
        <v>23</v>
      </c>
      <c r="B64" s="9">
        <v>13</v>
      </c>
      <c r="C64" s="9" t="s">
        <v>32</v>
      </c>
      <c r="D64" s="16" t="s">
        <v>21</v>
      </c>
      <c r="O64" s="12">
        <v>3</v>
      </c>
      <c r="P64" s="12">
        <v>1</v>
      </c>
      <c r="Q64" s="9">
        <v>308</v>
      </c>
      <c r="W64" s="13" t="s">
        <v>45</v>
      </c>
      <c r="X64" s="8">
        <v>12</v>
      </c>
      <c r="Y64" s="14" t="s">
        <v>56</v>
      </c>
      <c r="Z64" s="14" t="s">
        <v>26</v>
      </c>
      <c r="AA64" s="12">
        <v>4</v>
      </c>
      <c r="AB64" s="9">
        <f>2+2+4+6+8+3+4+2</f>
        <v>31</v>
      </c>
      <c r="AD64" s="13" t="s">
        <v>74</v>
      </c>
      <c r="AE64" s="8">
        <v>10</v>
      </c>
      <c r="AF64" s="14" t="s">
        <v>83</v>
      </c>
      <c r="AG64" s="14" t="s">
        <v>73</v>
      </c>
      <c r="AH64" s="14">
        <v>0</v>
      </c>
    </row>
    <row r="65" spans="17:34" x14ac:dyDescent="0.25">
      <c r="Q65" s="9">
        <f>SUM(Q2:Q64)</f>
        <v>5634</v>
      </c>
      <c r="W65" s="13" t="s">
        <v>45</v>
      </c>
      <c r="X65" s="14">
        <v>13</v>
      </c>
      <c r="Y65" s="14" t="s">
        <v>57</v>
      </c>
      <c r="Z65" s="14" t="s">
        <v>43</v>
      </c>
      <c r="AA65" s="12">
        <v>1</v>
      </c>
      <c r="AB65" s="9">
        <v>0</v>
      </c>
      <c r="AD65" s="13" t="s">
        <v>74</v>
      </c>
      <c r="AE65" s="14">
        <v>11</v>
      </c>
      <c r="AF65" s="14" t="s">
        <v>84</v>
      </c>
      <c r="AG65" s="14" t="s">
        <v>71</v>
      </c>
      <c r="AH65" s="14">
        <v>0</v>
      </c>
    </row>
    <row r="66" spans="17:34" x14ac:dyDescent="0.25">
      <c r="W66" s="13" t="s">
        <v>45</v>
      </c>
      <c r="X66" s="14">
        <v>13</v>
      </c>
      <c r="Y66" s="14" t="s">
        <v>57</v>
      </c>
      <c r="Z66" s="14" t="s">
        <v>44</v>
      </c>
      <c r="AA66" s="12">
        <v>8</v>
      </c>
      <c r="AB66" s="9">
        <v>0</v>
      </c>
      <c r="AD66" s="13" t="s">
        <v>74</v>
      </c>
      <c r="AE66" s="14">
        <v>11</v>
      </c>
      <c r="AF66" s="14" t="s">
        <v>84</v>
      </c>
      <c r="AG66" s="14" t="s">
        <v>72</v>
      </c>
      <c r="AH66" s="14">
        <v>0</v>
      </c>
    </row>
    <row r="67" spans="17:34" x14ac:dyDescent="0.25">
      <c r="W67" s="13" t="s">
        <v>45</v>
      </c>
      <c r="X67" s="14">
        <v>13</v>
      </c>
      <c r="Y67" s="14" t="s">
        <v>57</v>
      </c>
      <c r="Z67" s="14" t="s">
        <v>26</v>
      </c>
      <c r="AA67" s="12">
        <v>3</v>
      </c>
      <c r="AB67" s="9">
        <v>0</v>
      </c>
      <c r="AD67" s="13" t="s">
        <v>74</v>
      </c>
      <c r="AE67" s="14">
        <v>11</v>
      </c>
      <c r="AF67" s="14" t="s">
        <v>84</v>
      </c>
      <c r="AG67" s="14" t="s">
        <v>73</v>
      </c>
      <c r="AH67" s="14">
        <v>0</v>
      </c>
    </row>
    <row r="68" spans="17:34" x14ac:dyDescent="0.25">
      <c r="W68" s="15" t="s">
        <v>46</v>
      </c>
      <c r="X68" s="9">
        <v>2</v>
      </c>
      <c r="Y68" s="9" t="s">
        <v>47</v>
      </c>
      <c r="Z68" s="16" t="s">
        <v>43</v>
      </c>
      <c r="AA68" s="12">
        <v>4</v>
      </c>
      <c r="AB68" s="9">
        <f>12+12+8+11+12+9+6+15+4+5</f>
        <v>94</v>
      </c>
      <c r="AD68" s="13" t="s">
        <v>74</v>
      </c>
      <c r="AE68" s="8">
        <v>12</v>
      </c>
      <c r="AF68" s="14" t="s">
        <v>85</v>
      </c>
      <c r="AG68" s="14" t="s">
        <v>71</v>
      </c>
      <c r="AH68" s="14">
        <v>0</v>
      </c>
    </row>
    <row r="69" spans="17:34" x14ac:dyDescent="0.25">
      <c r="W69" s="15" t="s">
        <v>46</v>
      </c>
      <c r="X69" s="9">
        <v>2</v>
      </c>
      <c r="Y69" s="9" t="s">
        <v>47</v>
      </c>
      <c r="Z69" s="16" t="s">
        <v>44</v>
      </c>
      <c r="AA69" s="12">
        <v>1</v>
      </c>
      <c r="AB69" s="9">
        <f>6+7+7+11+9+14+13+13+20+16</f>
        <v>116</v>
      </c>
      <c r="AD69" s="13" t="s">
        <v>74</v>
      </c>
      <c r="AE69" s="8">
        <v>12</v>
      </c>
      <c r="AF69" s="14" t="s">
        <v>85</v>
      </c>
      <c r="AG69" s="14" t="s">
        <v>72</v>
      </c>
      <c r="AH69" s="14">
        <v>0</v>
      </c>
    </row>
    <row r="70" spans="17:34" x14ac:dyDescent="0.25">
      <c r="W70" s="15" t="s">
        <v>46</v>
      </c>
      <c r="X70" s="9">
        <v>2</v>
      </c>
      <c r="Y70" s="9" t="s">
        <v>47</v>
      </c>
      <c r="Z70" s="16" t="s">
        <v>26</v>
      </c>
      <c r="AA70" s="12">
        <v>3</v>
      </c>
      <c r="AB70" s="9">
        <f>2+1+1+2+3+2</f>
        <v>11</v>
      </c>
      <c r="AD70" s="13" t="s">
        <v>74</v>
      </c>
      <c r="AE70" s="8">
        <v>12</v>
      </c>
      <c r="AF70" s="14" t="s">
        <v>85</v>
      </c>
      <c r="AG70" s="14" t="s">
        <v>73</v>
      </c>
      <c r="AH70" s="14">
        <v>0</v>
      </c>
    </row>
    <row r="71" spans="17:34" x14ac:dyDescent="0.25">
      <c r="W71" s="15" t="s">
        <v>46</v>
      </c>
      <c r="X71" s="8">
        <v>3</v>
      </c>
      <c r="Y71" s="9" t="s">
        <v>48</v>
      </c>
      <c r="Z71" s="16" t="s">
        <v>43</v>
      </c>
      <c r="AA71" s="12">
        <v>2</v>
      </c>
      <c r="AB71" s="9">
        <f>5+1+1+1+1+1+1</f>
        <v>11</v>
      </c>
      <c r="AD71" s="13" t="s">
        <v>74</v>
      </c>
      <c r="AE71" s="14">
        <v>13</v>
      </c>
      <c r="AF71" s="14" t="s">
        <v>86</v>
      </c>
      <c r="AG71" s="14" t="s">
        <v>71</v>
      </c>
      <c r="AH71" s="14">
        <v>0</v>
      </c>
    </row>
    <row r="72" spans="17:34" x14ac:dyDescent="0.25">
      <c r="W72" s="15" t="s">
        <v>46</v>
      </c>
      <c r="X72" s="8">
        <v>3</v>
      </c>
      <c r="Y72" s="9" t="s">
        <v>48</v>
      </c>
      <c r="Z72" s="16" t="s">
        <v>44</v>
      </c>
      <c r="AA72" s="12">
        <v>6</v>
      </c>
      <c r="AB72" s="9">
        <f>2+2+9+6+4+3+1+2</f>
        <v>29</v>
      </c>
      <c r="AD72" s="13" t="s">
        <v>74</v>
      </c>
      <c r="AE72" s="14">
        <v>13</v>
      </c>
      <c r="AF72" s="14" t="s">
        <v>86</v>
      </c>
      <c r="AG72" s="14" t="s">
        <v>72</v>
      </c>
      <c r="AH72" s="14">
        <v>0</v>
      </c>
    </row>
    <row r="73" spans="17:34" x14ac:dyDescent="0.25">
      <c r="W73" s="15" t="s">
        <v>46</v>
      </c>
      <c r="X73" s="8">
        <v>3</v>
      </c>
      <c r="Y73" s="9" t="s">
        <v>48</v>
      </c>
      <c r="Z73" s="16" t="s">
        <v>26</v>
      </c>
      <c r="AA73" s="12">
        <v>4</v>
      </c>
      <c r="AB73" s="9">
        <f>3+3+2+8+3+5+2+12</f>
        <v>38</v>
      </c>
      <c r="AD73" s="13" t="s">
        <v>74</v>
      </c>
      <c r="AE73" s="14">
        <v>13</v>
      </c>
      <c r="AF73" s="14" t="s">
        <v>86</v>
      </c>
      <c r="AG73" s="14" t="s">
        <v>73</v>
      </c>
      <c r="AH73" s="14">
        <v>0</v>
      </c>
    </row>
    <row r="74" spans="17:34" x14ac:dyDescent="0.25">
      <c r="W74" s="15" t="s">
        <v>46</v>
      </c>
      <c r="X74" s="9">
        <v>4</v>
      </c>
      <c r="Y74" s="9" t="s">
        <v>49</v>
      </c>
      <c r="Z74" s="16" t="s">
        <v>43</v>
      </c>
      <c r="AA74" s="12">
        <v>1</v>
      </c>
      <c r="AB74" s="9">
        <f>4+3+9+2+4+3+1+2+6</f>
        <v>34</v>
      </c>
      <c r="AD74" s="15" t="s">
        <v>75</v>
      </c>
      <c r="AE74" s="8">
        <v>1</v>
      </c>
      <c r="AF74" s="9" t="s">
        <v>70</v>
      </c>
      <c r="AG74" s="16" t="s">
        <v>71</v>
      </c>
      <c r="AH74" s="9">
        <v>2</v>
      </c>
    </row>
    <row r="75" spans="17:34" x14ac:dyDescent="0.25">
      <c r="W75" s="15" t="s">
        <v>46</v>
      </c>
      <c r="X75" s="9">
        <v>4</v>
      </c>
      <c r="Y75" s="9" t="s">
        <v>49</v>
      </c>
      <c r="Z75" s="16" t="s">
        <v>44</v>
      </c>
      <c r="AA75" s="12">
        <v>5</v>
      </c>
      <c r="AB75" s="9">
        <f>28+27+26+35+32+37+20+7+19+14</f>
        <v>245</v>
      </c>
      <c r="AD75" s="15" t="s">
        <v>75</v>
      </c>
      <c r="AE75" s="8">
        <v>1</v>
      </c>
      <c r="AF75" s="9" t="s">
        <v>70</v>
      </c>
      <c r="AG75" s="16" t="s">
        <v>72</v>
      </c>
      <c r="AH75" s="9">
        <v>4</v>
      </c>
    </row>
    <row r="76" spans="17:34" x14ac:dyDescent="0.25">
      <c r="W76" s="15" t="s">
        <v>46</v>
      </c>
      <c r="X76" s="9">
        <v>4</v>
      </c>
      <c r="Y76" s="9" t="s">
        <v>49</v>
      </c>
      <c r="Z76" s="16" t="s">
        <v>26</v>
      </c>
      <c r="AA76" s="12">
        <v>8</v>
      </c>
      <c r="AB76" s="9">
        <f>16+19+14+27+21+12+15+16+14+18</f>
        <v>172</v>
      </c>
      <c r="AD76" s="15" t="s">
        <v>75</v>
      </c>
      <c r="AE76" s="8">
        <v>1</v>
      </c>
      <c r="AF76" s="9" t="s">
        <v>70</v>
      </c>
      <c r="AG76" s="16" t="s">
        <v>73</v>
      </c>
      <c r="AH76" s="9">
        <v>4</v>
      </c>
    </row>
    <row r="77" spans="17:34" x14ac:dyDescent="0.25">
      <c r="W77" s="15" t="s">
        <v>46</v>
      </c>
      <c r="X77" s="8">
        <v>5</v>
      </c>
      <c r="Y77" s="9" t="s">
        <v>50</v>
      </c>
      <c r="Z77" s="16" t="s">
        <v>43</v>
      </c>
      <c r="AA77" s="12">
        <v>2</v>
      </c>
      <c r="AB77" s="9">
        <f>2+1+1+3+4+2+4+2+2</f>
        <v>21</v>
      </c>
      <c r="AD77" s="15" t="s">
        <v>75</v>
      </c>
      <c r="AE77" s="9">
        <v>2</v>
      </c>
      <c r="AF77" s="9" t="s">
        <v>76</v>
      </c>
      <c r="AG77" s="16" t="s">
        <v>71</v>
      </c>
      <c r="AH77" s="9">
        <f>1+2+1+1+1</f>
        <v>6</v>
      </c>
    </row>
    <row r="78" spans="17:34" x14ac:dyDescent="0.25">
      <c r="W78" s="15" t="s">
        <v>46</v>
      </c>
      <c r="X78" s="8">
        <v>5</v>
      </c>
      <c r="Y78" s="9" t="s">
        <v>50</v>
      </c>
      <c r="Z78" s="16" t="s">
        <v>44</v>
      </c>
      <c r="AA78" s="12">
        <v>7</v>
      </c>
      <c r="AB78" s="9">
        <f>2+3+4+9+4+3+4+1+1+5</f>
        <v>36</v>
      </c>
      <c r="AD78" s="15" t="s">
        <v>75</v>
      </c>
      <c r="AE78" s="9">
        <v>2</v>
      </c>
      <c r="AF78" s="9" t="s">
        <v>76</v>
      </c>
      <c r="AG78" s="16" t="s">
        <v>72</v>
      </c>
      <c r="AH78" s="9">
        <f>1+1+1+1</f>
        <v>4</v>
      </c>
    </row>
    <row r="79" spans="17:34" x14ac:dyDescent="0.25">
      <c r="W79" s="15" t="s">
        <v>46</v>
      </c>
      <c r="X79" s="8">
        <v>5</v>
      </c>
      <c r="Y79" s="9" t="s">
        <v>50</v>
      </c>
      <c r="Z79" s="16" t="s">
        <v>26</v>
      </c>
      <c r="AA79" s="12">
        <v>4</v>
      </c>
      <c r="AB79" s="9">
        <f>6+5+4+2+2+6+4+2+12+8</f>
        <v>51</v>
      </c>
      <c r="AD79" s="15" t="s">
        <v>75</v>
      </c>
      <c r="AE79" s="9">
        <v>2</v>
      </c>
      <c r="AF79" s="9" t="s">
        <v>76</v>
      </c>
      <c r="AG79" s="16" t="s">
        <v>73</v>
      </c>
      <c r="AH79" s="9">
        <f>3+1+1+1+1</f>
        <v>7</v>
      </c>
    </row>
    <row r="80" spans="17:34" x14ac:dyDescent="0.25">
      <c r="W80" s="15" t="s">
        <v>46</v>
      </c>
      <c r="X80" s="9">
        <v>7</v>
      </c>
      <c r="Y80" s="9" t="s">
        <v>51</v>
      </c>
      <c r="Z80" s="16" t="s">
        <v>43</v>
      </c>
      <c r="AA80" s="12">
        <v>3</v>
      </c>
      <c r="AB80" s="9">
        <v>0</v>
      </c>
      <c r="AD80" s="15" t="s">
        <v>75</v>
      </c>
      <c r="AE80" s="8">
        <v>3</v>
      </c>
      <c r="AF80" s="9" t="s">
        <v>77</v>
      </c>
      <c r="AG80" s="16" t="s">
        <v>71</v>
      </c>
      <c r="AH80" s="9">
        <v>1</v>
      </c>
    </row>
    <row r="81" spans="2:34" x14ac:dyDescent="0.25">
      <c r="W81" s="15" t="s">
        <v>46</v>
      </c>
      <c r="X81" s="9">
        <v>7</v>
      </c>
      <c r="Y81" s="9" t="s">
        <v>51</v>
      </c>
      <c r="Z81" s="16" t="s">
        <v>44</v>
      </c>
      <c r="AA81" s="12">
        <v>8</v>
      </c>
      <c r="AB81" s="9">
        <v>0</v>
      </c>
      <c r="AD81" s="15" t="s">
        <v>75</v>
      </c>
      <c r="AE81" s="8">
        <v>3</v>
      </c>
      <c r="AF81" s="9" t="s">
        <v>77</v>
      </c>
      <c r="AG81" s="16" t="s">
        <v>72</v>
      </c>
      <c r="AH81" s="9">
        <v>4</v>
      </c>
    </row>
    <row r="82" spans="2:34" x14ac:dyDescent="0.25">
      <c r="W82" s="15" t="s">
        <v>46</v>
      </c>
      <c r="X82" s="9">
        <v>7</v>
      </c>
      <c r="Y82" s="9" t="s">
        <v>51</v>
      </c>
      <c r="Z82" s="16" t="s">
        <v>26</v>
      </c>
      <c r="AA82" s="12">
        <v>4</v>
      </c>
      <c r="AB82" s="9">
        <v>0</v>
      </c>
      <c r="AD82" s="15" t="s">
        <v>75</v>
      </c>
      <c r="AE82" s="8">
        <v>3</v>
      </c>
      <c r="AF82" s="9" t="s">
        <v>77</v>
      </c>
      <c r="AG82" s="16" t="s">
        <v>73</v>
      </c>
      <c r="AH82" s="9">
        <v>2</v>
      </c>
    </row>
    <row r="83" spans="2:34" x14ac:dyDescent="0.25">
      <c r="W83" s="15" t="s">
        <v>46</v>
      </c>
      <c r="X83" s="8">
        <v>8</v>
      </c>
      <c r="Y83" s="9" t="s">
        <v>52</v>
      </c>
      <c r="Z83" s="16" t="s">
        <v>43</v>
      </c>
      <c r="AA83" s="12">
        <v>5</v>
      </c>
      <c r="AB83" s="9">
        <f>2+1+6+1+2+6+6+5+6</f>
        <v>35</v>
      </c>
      <c r="AD83" s="15" t="s">
        <v>75</v>
      </c>
      <c r="AE83" s="9">
        <v>4</v>
      </c>
      <c r="AF83" s="9" t="s">
        <v>78</v>
      </c>
      <c r="AG83" s="16" t="s">
        <v>71</v>
      </c>
      <c r="AH83" s="9">
        <v>189</v>
      </c>
    </row>
    <row r="84" spans="2:34" x14ac:dyDescent="0.25">
      <c r="B84" s="17"/>
      <c r="W84" s="15" t="s">
        <v>46</v>
      </c>
      <c r="X84" s="8">
        <v>8</v>
      </c>
      <c r="Y84" s="9" t="s">
        <v>52</v>
      </c>
      <c r="Z84" s="16" t="s">
        <v>44</v>
      </c>
      <c r="AA84" s="12">
        <v>4</v>
      </c>
      <c r="AB84" s="9">
        <f>5+7+2+5+2+10+2+3+3+3</f>
        <v>42</v>
      </c>
      <c r="AD84" s="15" t="s">
        <v>75</v>
      </c>
      <c r="AE84" s="9">
        <v>4</v>
      </c>
      <c r="AF84" s="9" t="s">
        <v>78</v>
      </c>
      <c r="AG84" s="16" t="s">
        <v>72</v>
      </c>
      <c r="AH84" s="9">
        <f>4+6+8+11+10+5+9+12+9+14</f>
        <v>88</v>
      </c>
    </row>
    <row r="85" spans="2:34" x14ac:dyDescent="0.25">
      <c r="B85" s="17"/>
      <c r="W85" s="15" t="s">
        <v>46</v>
      </c>
      <c r="X85" s="8">
        <v>8</v>
      </c>
      <c r="Y85" s="9" t="s">
        <v>52</v>
      </c>
      <c r="Z85" s="16" t="s">
        <v>26</v>
      </c>
      <c r="AA85" s="12">
        <v>6</v>
      </c>
      <c r="AB85" s="9">
        <f>2+1+1+3+4</f>
        <v>11</v>
      </c>
      <c r="AD85" s="15" t="s">
        <v>75</v>
      </c>
      <c r="AE85" s="9">
        <v>4</v>
      </c>
      <c r="AF85" s="9" t="s">
        <v>78</v>
      </c>
      <c r="AG85" s="16" t="s">
        <v>73</v>
      </c>
      <c r="AH85" s="9">
        <f>13+15+16+16+17+25+18+20+11+15</f>
        <v>166</v>
      </c>
    </row>
    <row r="86" spans="2:34" x14ac:dyDescent="0.25">
      <c r="B86" s="17"/>
      <c r="W86" s="23" t="s">
        <v>36</v>
      </c>
      <c r="X86" s="9">
        <v>9</v>
      </c>
      <c r="Y86" s="9" t="s">
        <v>53</v>
      </c>
      <c r="Z86" s="16" t="s">
        <v>59</v>
      </c>
      <c r="AA86" s="12">
        <v>6</v>
      </c>
      <c r="AB86" s="9">
        <v>11</v>
      </c>
      <c r="AD86" s="15" t="s">
        <v>75</v>
      </c>
      <c r="AE86" s="8">
        <v>5</v>
      </c>
      <c r="AF86" s="9" t="s">
        <v>79</v>
      </c>
      <c r="AG86" s="16" t="s">
        <v>71</v>
      </c>
      <c r="AH86" s="9">
        <v>0</v>
      </c>
    </row>
    <row r="87" spans="2:34" x14ac:dyDescent="0.25">
      <c r="W87" s="23" t="s">
        <v>36</v>
      </c>
      <c r="X87" s="9">
        <v>9</v>
      </c>
      <c r="Y87" s="9" t="s">
        <v>53</v>
      </c>
      <c r="Z87" s="16" t="s">
        <v>60</v>
      </c>
      <c r="AA87" s="12">
        <v>2</v>
      </c>
      <c r="AB87" s="9">
        <v>2</v>
      </c>
      <c r="AD87" s="15" t="s">
        <v>75</v>
      </c>
      <c r="AE87" s="8">
        <v>5</v>
      </c>
      <c r="AF87" s="9" t="s">
        <v>79</v>
      </c>
      <c r="AG87" s="16" t="s">
        <v>72</v>
      </c>
      <c r="AH87" s="9">
        <v>3</v>
      </c>
    </row>
    <row r="88" spans="2:34" x14ac:dyDescent="0.25">
      <c r="W88" s="23" t="s">
        <v>36</v>
      </c>
      <c r="X88" s="9">
        <v>9</v>
      </c>
      <c r="Y88" s="9" t="s">
        <v>53</v>
      </c>
      <c r="Z88" s="16" t="s">
        <v>61</v>
      </c>
      <c r="AA88" s="12">
        <v>1</v>
      </c>
      <c r="AB88" s="9">
        <v>13</v>
      </c>
      <c r="AD88" s="15" t="s">
        <v>75</v>
      </c>
      <c r="AE88" s="8">
        <v>5</v>
      </c>
      <c r="AF88" s="9" t="s">
        <v>79</v>
      </c>
      <c r="AG88" s="16" t="s">
        <v>73</v>
      </c>
      <c r="AH88" s="9">
        <v>1</v>
      </c>
    </row>
    <row r="89" spans="2:34" x14ac:dyDescent="0.25">
      <c r="W89" s="15" t="s">
        <v>46</v>
      </c>
      <c r="X89" s="8">
        <v>10</v>
      </c>
      <c r="Y89" s="9" t="s">
        <v>54</v>
      </c>
      <c r="Z89" s="16" t="s">
        <v>43</v>
      </c>
      <c r="AA89" s="12">
        <v>6</v>
      </c>
      <c r="AB89" s="9">
        <v>11</v>
      </c>
      <c r="AD89" s="15" t="s">
        <v>75</v>
      </c>
      <c r="AE89" s="9">
        <v>7</v>
      </c>
      <c r="AF89" s="9" t="s">
        <v>80</v>
      </c>
      <c r="AG89" s="16" t="s">
        <v>71</v>
      </c>
      <c r="AH89" s="9">
        <v>0</v>
      </c>
    </row>
    <row r="90" spans="2:34" x14ac:dyDescent="0.25">
      <c r="W90" s="15" t="s">
        <v>46</v>
      </c>
      <c r="X90" s="8">
        <v>10</v>
      </c>
      <c r="Y90" s="9" t="s">
        <v>54</v>
      </c>
      <c r="Z90" s="16" t="s">
        <v>44</v>
      </c>
      <c r="AA90" s="12">
        <v>2</v>
      </c>
      <c r="AB90" s="9">
        <f>1+2+2</f>
        <v>5</v>
      </c>
      <c r="AD90" s="15" t="s">
        <v>75</v>
      </c>
      <c r="AE90" s="9">
        <v>7</v>
      </c>
      <c r="AF90" s="9" t="s">
        <v>80</v>
      </c>
      <c r="AG90" s="16" t="s">
        <v>72</v>
      </c>
      <c r="AH90" s="9">
        <v>0</v>
      </c>
    </row>
    <row r="91" spans="2:34" x14ac:dyDescent="0.25">
      <c r="W91" s="15" t="s">
        <v>46</v>
      </c>
      <c r="X91" s="8">
        <v>10</v>
      </c>
      <c r="Y91" s="9" t="s">
        <v>54</v>
      </c>
      <c r="Z91" s="16" t="s">
        <v>26</v>
      </c>
      <c r="AA91" s="12">
        <v>1</v>
      </c>
      <c r="AB91" s="9">
        <v>1</v>
      </c>
      <c r="AD91" s="15" t="s">
        <v>75</v>
      </c>
      <c r="AE91" s="9">
        <v>7</v>
      </c>
      <c r="AF91" s="9" t="s">
        <v>80</v>
      </c>
      <c r="AG91" s="16" t="s">
        <v>73</v>
      </c>
      <c r="AH91" s="9">
        <v>0</v>
      </c>
    </row>
    <row r="92" spans="2:34" x14ac:dyDescent="0.25">
      <c r="W92" s="15" t="s">
        <v>46</v>
      </c>
      <c r="X92" s="9">
        <v>11</v>
      </c>
      <c r="Y92" s="9" t="s">
        <v>55</v>
      </c>
      <c r="Z92" s="16" t="s">
        <v>43</v>
      </c>
      <c r="AA92" s="12">
        <v>8</v>
      </c>
      <c r="AB92" s="9">
        <f>6+12+10+8+7+6+4+12+14+12</f>
        <v>91</v>
      </c>
      <c r="AD92" s="15" t="s">
        <v>75</v>
      </c>
      <c r="AE92" s="8">
        <v>8</v>
      </c>
      <c r="AF92" s="9" t="s">
        <v>81</v>
      </c>
      <c r="AG92" s="16" t="s">
        <v>71</v>
      </c>
      <c r="AH92" s="9">
        <v>0</v>
      </c>
    </row>
    <row r="93" spans="2:34" x14ac:dyDescent="0.25">
      <c r="W93" s="15" t="s">
        <v>46</v>
      </c>
      <c r="X93" s="9">
        <v>11</v>
      </c>
      <c r="Y93" s="9" t="s">
        <v>55</v>
      </c>
      <c r="Z93" s="16" t="s">
        <v>44</v>
      </c>
      <c r="AA93" s="12">
        <v>6</v>
      </c>
      <c r="AB93" s="9">
        <f>2+2+5+3+11+6+7+2+2+5</f>
        <v>45</v>
      </c>
      <c r="AD93" s="15" t="s">
        <v>75</v>
      </c>
      <c r="AE93" s="8">
        <v>8</v>
      </c>
      <c r="AF93" s="9" t="s">
        <v>81</v>
      </c>
      <c r="AG93" s="16" t="s">
        <v>72</v>
      </c>
      <c r="AH93" s="9">
        <v>0</v>
      </c>
    </row>
    <row r="94" spans="2:34" x14ac:dyDescent="0.25">
      <c r="W94" s="15" t="s">
        <v>46</v>
      </c>
      <c r="X94" s="9">
        <v>11</v>
      </c>
      <c r="Y94" s="9" t="s">
        <v>55</v>
      </c>
      <c r="Z94" s="16" t="s">
        <v>26</v>
      </c>
      <c r="AA94" s="12">
        <v>1</v>
      </c>
      <c r="AB94" s="9">
        <f>17+17+13+19+12+12+7+6+7+9</f>
        <v>119</v>
      </c>
      <c r="AD94" s="15" t="s">
        <v>75</v>
      </c>
      <c r="AE94" s="8">
        <v>8</v>
      </c>
      <c r="AF94" s="9" t="s">
        <v>81</v>
      </c>
      <c r="AG94" s="16" t="s">
        <v>73</v>
      </c>
      <c r="AH94" s="9">
        <v>1</v>
      </c>
    </row>
    <row r="95" spans="2:34" x14ac:dyDescent="0.25">
      <c r="W95" s="15" t="s">
        <v>46</v>
      </c>
      <c r="X95" s="8">
        <v>12</v>
      </c>
      <c r="Y95" s="9" t="s">
        <v>56</v>
      </c>
      <c r="Z95" s="16" t="s">
        <v>43</v>
      </c>
      <c r="AA95" s="12">
        <v>2</v>
      </c>
      <c r="AB95" s="9">
        <f>11+6+5+6+5+11+7+7+2</f>
        <v>60</v>
      </c>
      <c r="AD95" s="15" t="s">
        <v>75</v>
      </c>
      <c r="AE95" s="9">
        <v>9</v>
      </c>
      <c r="AF95" s="9" t="s">
        <v>82</v>
      </c>
      <c r="AG95" s="16" t="s">
        <v>71</v>
      </c>
      <c r="AH95" s="9">
        <v>0</v>
      </c>
    </row>
    <row r="96" spans="2:34" x14ac:dyDescent="0.25">
      <c r="W96" s="15" t="s">
        <v>46</v>
      </c>
      <c r="X96" s="8">
        <v>12</v>
      </c>
      <c r="Y96" s="9" t="s">
        <v>56</v>
      </c>
      <c r="Z96" s="16" t="s">
        <v>44</v>
      </c>
      <c r="AA96" s="12">
        <v>8</v>
      </c>
      <c r="AB96" s="9">
        <f>6</f>
        <v>6</v>
      </c>
      <c r="AD96" s="15" t="s">
        <v>75</v>
      </c>
      <c r="AE96" s="9">
        <v>9</v>
      </c>
      <c r="AF96" s="9" t="s">
        <v>82</v>
      </c>
      <c r="AG96" s="16" t="s">
        <v>72</v>
      </c>
      <c r="AH96" s="9">
        <v>0</v>
      </c>
    </row>
    <row r="97" spans="23:34" x14ac:dyDescent="0.25">
      <c r="W97" s="15" t="s">
        <v>46</v>
      </c>
      <c r="X97" s="8">
        <v>12</v>
      </c>
      <c r="Y97" s="9" t="s">
        <v>56</v>
      </c>
      <c r="Z97" s="16" t="s">
        <v>26</v>
      </c>
      <c r="AA97" s="12">
        <v>5</v>
      </c>
      <c r="AB97" s="9">
        <v>6</v>
      </c>
      <c r="AD97" s="15" t="s">
        <v>75</v>
      </c>
      <c r="AE97" s="9">
        <v>9</v>
      </c>
      <c r="AF97" s="9" t="s">
        <v>82</v>
      </c>
      <c r="AG97" s="16" t="s">
        <v>73</v>
      </c>
      <c r="AH97" s="9">
        <v>0</v>
      </c>
    </row>
    <row r="98" spans="23:34" x14ac:dyDescent="0.25">
      <c r="W98" s="15" t="s">
        <v>46</v>
      </c>
      <c r="X98" s="9">
        <v>13</v>
      </c>
      <c r="Y98" s="9" t="s">
        <v>57</v>
      </c>
      <c r="Z98" s="16" t="s">
        <v>43</v>
      </c>
      <c r="AA98" s="12">
        <v>3</v>
      </c>
      <c r="AB98" s="9">
        <v>0</v>
      </c>
      <c r="AD98" s="15" t="s">
        <v>75</v>
      </c>
      <c r="AE98" s="8">
        <v>10</v>
      </c>
      <c r="AF98" s="9" t="s">
        <v>83</v>
      </c>
      <c r="AG98" s="16" t="s">
        <v>71</v>
      </c>
      <c r="AH98" s="9">
        <v>0</v>
      </c>
    </row>
    <row r="99" spans="23:34" x14ac:dyDescent="0.25">
      <c r="W99" s="15" t="s">
        <v>46</v>
      </c>
      <c r="X99" s="9">
        <v>13</v>
      </c>
      <c r="Y99" s="9" t="s">
        <v>57</v>
      </c>
      <c r="Z99" s="16" t="s">
        <v>44</v>
      </c>
      <c r="AA99" s="12">
        <v>8</v>
      </c>
      <c r="AB99" s="9">
        <v>0</v>
      </c>
      <c r="AD99" s="15" t="s">
        <v>75</v>
      </c>
      <c r="AE99" s="8">
        <v>10</v>
      </c>
      <c r="AF99" s="9" t="s">
        <v>83</v>
      </c>
      <c r="AG99" s="16" t="s">
        <v>72</v>
      </c>
      <c r="AH99" s="9">
        <v>0</v>
      </c>
    </row>
    <row r="100" spans="23:34" x14ac:dyDescent="0.25">
      <c r="W100" s="15" t="s">
        <v>46</v>
      </c>
      <c r="X100" s="9">
        <v>13</v>
      </c>
      <c r="Y100" s="9" t="s">
        <v>57</v>
      </c>
      <c r="Z100" s="16" t="s">
        <v>26</v>
      </c>
      <c r="AA100" s="12">
        <v>4</v>
      </c>
      <c r="AB100" s="9">
        <v>0</v>
      </c>
      <c r="AD100" s="15" t="s">
        <v>75</v>
      </c>
      <c r="AE100" s="8">
        <v>10</v>
      </c>
      <c r="AF100" s="9" t="s">
        <v>83</v>
      </c>
      <c r="AG100" s="16" t="s">
        <v>73</v>
      </c>
      <c r="AH100" s="9">
        <v>0</v>
      </c>
    </row>
    <row r="101" spans="23:34" x14ac:dyDescent="0.25">
      <c r="AD101" s="15" t="s">
        <v>75</v>
      </c>
      <c r="AE101" s="9">
        <v>11</v>
      </c>
      <c r="AF101" s="9" t="s">
        <v>84</v>
      </c>
      <c r="AG101" s="16" t="s">
        <v>71</v>
      </c>
      <c r="AH101" s="9">
        <f>3+4+3+1+2+1</f>
        <v>14</v>
      </c>
    </row>
    <row r="102" spans="23:34" x14ac:dyDescent="0.25">
      <c r="AD102" s="15" t="s">
        <v>75</v>
      </c>
      <c r="AE102" s="9">
        <v>11</v>
      </c>
      <c r="AF102" s="9" t="s">
        <v>84</v>
      </c>
      <c r="AG102" s="16" t="s">
        <v>72</v>
      </c>
      <c r="AH102" s="9">
        <f>3+2+2+2</f>
        <v>9</v>
      </c>
    </row>
    <row r="103" spans="23:34" x14ac:dyDescent="0.25">
      <c r="AD103" s="15" t="s">
        <v>75</v>
      </c>
      <c r="AE103" s="9">
        <v>11</v>
      </c>
      <c r="AF103" s="9" t="s">
        <v>84</v>
      </c>
      <c r="AG103" s="16" t="s">
        <v>73</v>
      </c>
      <c r="AH103" s="9">
        <v>3</v>
      </c>
    </row>
    <row r="104" spans="23:34" x14ac:dyDescent="0.25">
      <c r="AD104" s="15" t="s">
        <v>75</v>
      </c>
      <c r="AE104" s="8">
        <v>12</v>
      </c>
      <c r="AF104" s="9" t="s">
        <v>85</v>
      </c>
      <c r="AG104" s="16" t="s">
        <v>71</v>
      </c>
      <c r="AH104" s="9">
        <v>0</v>
      </c>
    </row>
    <row r="105" spans="23:34" x14ac:dyDescent="0.25">
      <c r="AD105" s="15" t="s">
        <v>75</v>
      </c>
      <c r="AE105" s="8">
        <v>12</v>
      </c>
      <c r="AF105" s="9" t="s">
        <v>85</v>
      </c>
      <c r="AG105" s="16" t="s">
        <v>72</v>
      </c>
      <c r="AH105" s="9">
        <v>5</v>
      </c>
    </row>
    <row r="106" spans="23:34" x14ac:dyDescent="0.25">
      <c r="AD106" s="15" t="s">
        <v>75</v>
      </c>
      <c r="AE106" s="8">
        <v>12</v>
      </c>
      <c r="AF106" s="9" t="s">
        <v>85</v>
      </c>
      <c r="AG106" s="16" t="s">
        <v>73</v>
      </c>
      <c r="AH106" s="9">
        <v>2</v>
      </c>
    </row>
    <row r="107" spans="23:34" x14ac:dyDescent="0.25">
      <c r="AD107" s="15" t="s">
        <v>75</v>
      </c>
      <c r="AE107" s="9">
        <v>13</v>
      </c>
      <c r="AF107" s="9" t="s">
        <v>86</v>
      </c>
      <c r="AG107" s="16" t="s">
        <v>71</v>
      </c>
      <c r="AH107" s="9">
        <v>0</v>
      </c>
    </row>
    <row r="108" spans="23:34" x14ac:dyDescent="0.25">
      <c r="AD108" s="15" t="s">
        <v>75</v>
      </c>
      <c r="AE108" s="9">
        <v>13</v>
      </c>
      <c r="AF108" s="9" t="s">
        <v>86</v>
      </c>
      <c r="AG108" s="16" t="s">
        <v>72</v>
      </c>
      <c r="AH108" s="9">
        <v>1</v>
      </c>
    </row>
    <row r="109" spans="23:34" x14ac:dyDescent="0.25">
      <c r="AD109" s="15" t="s">
        <v>75</v>
      </c>
      <c r="AE109" s="9">
        <v>13</v>
      </c>
      <c r="AF109" s="9" t="s">
        <v>86</v>
      </c>
      <c r="AG109" s="16" t="s">
        <v>73</v>
      </c>
      <c r="AH109" s="9">
        <v>0</v>
      </c>
    </row>
    <row r="126" spans="31:31" x14ac:dyDescent="0.25">
      <c r="AE126" s="17"/>
    </row>
    <row r="127" spans="31:31" x14ac:dyDescent="0.25">
      <c r="AE127" s="17"/>
    </row>
    <row r="128" spans="31:31" x14ac:dyDescent="0.25">
      <c r="AE128" s="17"/>
    </row>
  </sheetData>
  <sortState ref="AD2:AH168">
    <sortCondition ref="AD2:AD168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jjjj</dc:creator>
  <cp:lastModifiedBy>jjjj</cp:lastModifiedBy>
  <dcterms:created xsi:type="dcterms:W3CDTF">2016-07-28T18:08:11Z</dcterms:created>
  <dcterms:modified xsi:type="dcterms:W3CDTF">2016-07-28T19:58:42Z</dcterms:modified>
</cp:coreProperties>
</file>