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01 Supreme\2021\6307 SEML\04 MR\"/>
    </mc:Choice>
  </mc:AlternateContent>
  <xr:revisionPtr revIDLastSave="0" documentId="13_ncr:1_{9E1B82D1-CCF7-4B40-9D26-CC36417839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 Emission Reduction" sheetId="1" r:id="rId1"/>
    <sheet name="1 Electricity Generation" sheetId="2" r:id="rId2"/>
    <sheet name="2a NCG" sheetId="7" r:id="rId3"/>
    <sheet name="Sheet1" sheetId="8" state="hidden" r:id="rId4"/>
    <sheet name="2b Diesel" sheetId="6" r:id="rId5"/>
    <sheet name="3 Comparison" sheetId="4" r:id="rId6"/>
    <sheet name="SDG7" sheetId="10" r:id="rId7"/>
    <sheet name="SDG8" sheetId="9" r:id="rId8"/>
    <sheet name="SDG13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1" l="1"/>
  <c r="C5" i="11"/>
  <c r="C4" i="11"/>
  <c r="C7" i="10"/>
  <c r="C6" i="10"/>
  <c r="C5" i="10"/>
  <c r="C4" i="10"/>
  <c r="S17" i="9"/>
  <c r="T16" i="9"/>
  <c r="T18" i="9" s="1"/>
  <c r="S16" i="9"/>
  <c r="S18" i="9" s="1"/>
  <c r="R16" i="9"/>
  <c r="Q16" i="9"/>
  <c r="Q17" i="9" s="1"/>
  <c r="L17" i="9"/>
  <c r="M16" i="9"/>
  <c r="M18" i="9" s="1"/>
  <c r="L16" i="9"/>
  <c r="L18" i="9" s="1"/>
  <c r="K16" i="9"/>
  <c r="J16" i="9"/>
  <c r="J17" i="9" s="1"/>
  <c r="F15" i="9"/>
  <c r="E15" i="9"/>
  <c r="D15" i="9"/>
  <c r="C15" i="9"/>
  <c r="C16" i="9" s="1"/>
  <c r="D20" i="7"/>
  <c r="C41" i="6"/>
  <c r="D8" i="1"/>
  <c r="E8" i="1"/>
  <c r="E20" i="7"/>
  <c r="K23" i="7"/>
  <c r="J15" i="7"/>
  <c r="J6" i="7"/>
  <c r="C20" i="7"/>
  <c r="C40" i="6"/>
  <c r="C17" i="6"/>
  <c r="C15" i="6"/>
  <c r="C16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14" i="6"/>
  <c r="B14" i="6"/>
  <c r="E16" i="9" l="1"/>
  <c r="E17" i="9" s="1"/>
  <c r="B39" i="6"/>
  <c r="B20" i="7"/>
  <c r="B38" i="6"/>
  <c r="B37" i="6"/>
  <c r="B36" i="6"/>
  <c r="B35" i="6"/>
  <c r="B34" i="6"/>
  <c r="B33" i="6"/>
  <c r="B32" i="6"/>
  <c r="B31" i="6"/>
  <c r="B30" i="6"/>
  <c r="B29" i="6"/>
  <c r="B28" i="6"/>
  <c r="B26" i="6"/>
  <c r="B25" i="6"/>
  <c r="B24" i="6"/>
  <c r="B23" i="6"/>
  <c r="B22" i="6"/>
  <c r="B21" i="6"/>
  <c r="B20" i="6"/>
  <c r="B18" i="6"/>
  <c r="B17" i="6"/>
  <c r="B15" i="6"/>
  <c r="B40" i="6"/>
  <c r="B27" i="6"/>
  <c r="F17" i="9" l="1"/>
  <c r="B16" i="6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47" i="7" l="1"/>
  <c r="B6" i="4"/>
  <c r="E7" i="8" l="1"/>
  <c r="E4" i="8"/>
  <c r="B6" i="8"/>
  <c r="E5" i="8"/>
  <c r="E6" i="8" l="1"/>
  <c r="B41" i="6"/>
  <c r="G36" i="2"/>
  <c r="D36" i="2"/>
  <c r="E35" i="2"/>
  <c r="B35" i="2"/>
  <c r="H35" i="2" s="1"/>
  <c r="I35" i="2" s="1"/>
  <c r="H7" i="8" l="1"/>
  <c r="B34" i="1"/>
  <c r="B7" i="8"/>
  <c r="B19" i="6" l="1"/>
  <c r="B27" i="2" l="1"/>
  <c r="R10" i="7"/>
  <c r="R11" i="7"/>
  <c r="R12" i="7"/>
  <c r="R13" i="7"/>
  <c r="R14" i="7"/>
  <c r="N10" i="7" l="1"/>
  <c r="N11" i="7"/>
  <c r="N12" i="7"/>
  <c r="N13" i="7"/>
  <c r="N14" i="7"/>
  <c r="I10" i="7"/>
  <c r="I11" i="7"/>
  <c r="I12" i="7"/>
  <c r="I13" i="7"/>
  <c r="I14" i="7"/>
  <c r="E6" i="7"/>
  <c r="E10" i="7"/>
  <c r="J10" i="7" s="1"/>
  <c r="E11" i="7"/>
  <c r="J11" i="7" s="1"/>
  <c r="E12" i="7"/>
  <c r="E13" i="7"/>
  <c r="E14" i="7"/>
  <c r="R9" i="7"/>
  <c r="R8" i="7"/>
  <c r="R7" i="7"/>
  <c r="R6" i="7"/>
  <c r="N9" i="7"/>
  <c r="N8" i="7"/>
  <c r="N7" i="7"/>
  <c r="N6" i="7"/>
  <c r="I9" i="7"/>
  <c r="E9" i="7"/>
  <c r="J9" i="7" s="1"/>
  <c r="D32" i="7" s="1"/>
  <c r="I8" i="7"/>
  <c r="E8" i="7"/>
  <c r="I7" i="7"/>
  <c r="E7" i="7"/>
  <c r="J7" i="7" s="1"/>
  <c r="I6" i="7"/>
  <c r="E34" i="2"/>
  <c r="B34" i="2"/>
  <c r="H20" i="7" l="1"/>
  <c r="J14" i="7"/>
  <c r="J13" i="7"/>
  <c r="B5" i="8"/>
  <c r="B4" i="8"/>
  <c r="D35" i="7"/>
  <c r="C34" i="7"/>
  <c r="C35" i="7"/>
  <c r="D34" i="7"/>
  <c r="C33" i="7"/>
  <c r="H24" i="7" s="1"/>
  <c r="D33" i="7"/>
  <c r="K24" i="7" s="1"/>
  <c r="C44" i="7"/>
  <c r="H28" i="7" s="1"/>
  <c r="D45" i="7"/>
  <c r="D44" i="7"/>
  <c r="K28" i="7" s="1"/>
  <c r="C45" i="7"/>
  <c r="C24" i="7"/>
  <c r="D23" i="7"/>
  <c r="K21" i="7" s="1"/>
  <c r="C25" i="7"/>
  <c r="D24" i="7"/>
  <c r="C23" i="7"/>
  <c r="H21" i="7" s="1"/>
  <c r="D25" i="7"/>
  <c r="C37" i="7"/>
  <c r="D37" i="7"/>
  <c r="D36" i="7"/>
  <c r="K25" i="7" s="1"/>
  <c r="C36" i="7"/>
  <c r="H25" i="7" s="1"/>
  <c r="D41" i="7"/>
  <c r="K27" i="7" s="1"/>
  <c r="D43" i="7"/>
  <c r="C41" i="7"/>
  <c r="D42" i="7"/>
  <c r="C43" i="7"/>
  <c r="C42" i="7"/>
  <c r="J12" i="7"/>
  <c r="D31" i="7"/>
  <c r="C29" i="7"/>
  <c r="H23" i="7" s="1"/>
  <c r="C31" i="7"/>
  <c r="D29" i="7"/>
  <c r="C30" i="7"/>
  <c r="D30" i="7"/>
  <c r="C32" i="7"/>
  <c r="E32" i="7" s="1"/>
  <c r="C20" i="1" s="1"/>
  <c r="J8" i="7"/>
  <c r="E33" i="2"/>
  <c r="B33" i="2"/>
  <c r="E35" i="7" l="1"/>
  <c r="C23" i="1" s="1"/>
  <c r="E43" i="7"/>
  <c r="C31" i="1" s="1"/>
  <c r="E42" i="7"/>
  <c r="C30" i="1" s="1"/>
  <c r="E45" i="7"/>
  <c r="C33" i="1" s="1"/>
  <c r="D46" i="7"/>
  <c r="C46" i="7"/>
  <c r="E46" i="7" s="1"/>
  <c r="C34" i="1" s="1"/>
  <c r="D34" i="1" s="1"/>
  <c r="E34" i="1" s="1"/>
  <c r="E41" i="7"/>
  <c r="C29" i="1" s="1"/>
  <c r="H27" i="7"/>
  <c r="E33" i="7"/>
  <c r="C21" i="1" s="1"/>
  <c r="D28" i="7"/>
  <c r="D27" i="7"/>
  <c r="C27" i="7"/>
  <c r="D26" i="7"/>
  <c r="K22" i="7" s="1"/>
  <c r="C28" i="7"/>
  <c r="C26" i="7"/>
  <c r="H22" i="7" s="1"/>
  <c r="D38" i="7"/>
  <c r="K26" i="7" s="1"/>
  <c r="C40" i="7"/>
  <c r="D40" i="7"/>
  <c r="C39" i="7"/>
  <c r="C38" i="7"/>
  <c r="H26" i="7" s="1"/>
  <c r="D39" i="7"/>
  <c r="E36" i="7"/>
  <c r="C24" i="1" s="1"/>
  <c r="D21" i="7"/>
  <c r="C22" i="7"/>
  <c r="C21" i="7"/>
  <c r="D22" i="7"/>
  <c r="K20" i="7"/>
  <c r="E31" i="7"/>
  <c r="C19" i="1" s="1"/>
  <c r="E37" i="7"/>
  <c r="C25" i="1" s="1"/>
  <c r="E34" i="7"/>
  <c r="E44" i="7"/>
  <c r="C32" i="1" s="1"/>
  <c r="E32" i="2"/>
  <c r="B32" i="2"/>
  <c r="D47" i="7" l="1"/>
  <c r="C47" i="7"/>
  <c r="C22" i="1"/>
  <c r="E40" i="7"/>
  <c r="C28" i="1" s="1"/>
  <c r="E38" i="7"/>
  <c r="C26" i="1" s="1"/>
  <c r="C8" i="1"/>
  <c r="E39" i="7"/>
  <c r="C27" i="1" s="1"/>
  <c r="E31" i="2"/>
  <c r="B31" i="2"/>
  <c r="E47" i="7" l="1"/>
  <c r="C35" i="1"/>
  <c r="E30" i="2"/>
  <c r="B30" i="2"/>
  <c r="E29" i="2" l="1"/>
  <c r="B29" i="2"/>
  <c r="E28" i="2" l="1"/>
  <c r="B28" i="2"/>
  <c r="E27" i="2"/>
  <c r="E26" i="2" l="1"/>
  <c r="B26" i="2"/>
  <c r="E25" i="2" l="1"/>
  <c r="B25" i="2"/>
  <c r="E24" i="2" l="1"/>
  <c r="B24" i="2"/>
  <c r="E23" i="2" l="1"/>
  <c r="B23" i="2"/>
  <c r="H33" i="2" l="1"/>
  <c r="I33" i="2" s="1"/>
  <c r="B32" i="1" s="1"/>
  <c r="D32" i="1" s="1"/>
  <c r="E32" i="1" s="1"/>
  <c r="H34" i="2"/>
  <c r="I34" i="2" s="1"/>
  <c r="B33" i="1" s="1"/>
  <c r="D33" i="1" s="1"/>
  <c r="E33" i="1" s="1"/>
  <c r="H23" i="2"/>
  <c r="H24" i="2"/>
  <c r="H25" i="2"/>
  <c r="I25" i="2" s="1"/>
  <c r="B24" i="1" s="1"/>
  <c r="D24" i="1" s="1"/>
  <c r="E24" i="1" s="1"/>
  <c r="H26" i="2"/>
  <c r="I26" i="2" s="1"/>
  <c r="B25" i="1" s="1"/>
  <c r="D25" i="1" s="1"/>
  <c r="H27" i="2"/>
  <c r="I27" i="2" s="1"/>
  <c r="B26" i="1" s="1"/>
  <c r="D26" i="1" s="1"/>
  <c r="E26" i="1" s="1"/>
  <c r="H28" i="2"/>
  <c r="I28" i="2" s="1"/>
  <c r="B27" i="1" s="1"/>
  <c r="D27" i="1" s="1"/>
  <c r="E27" i="1" s="1"/>
  <c r="H29" i="2"/>
  <c r="I29" i="2" s="1"/>
  <c r="B28" i="1" s="1"/>
  <c r="D28" i="1" s="1"/>
  <c r="E28" i="1" s="1"/>
  <c r="H30" i="2"/>
  <c r="I30" i="2" s="1"/>
  <c r="B29" i="1" s="1"/>
  <c r="D29" i="1" s="1"/>
  <c r="E29" i="1" s="1"/>
  <c r="H31" i="2"/>
  <c r="I31" i="2" s="1"/>
  <c r="B30" i="1" s="1"/>
  <c r="D30" i="1" s="1"/>
  <c r="E30" i="1" s="1"/>
  <c r="H32" i="2"/>
  <c r="I32" i="2" s="1"/>
  <c r="B31" i="1" s="1"/>
  <c r="D31" i="1" s="1"/>
  <c r="E31" i="1" s="1"/>
  <c r="E22" i="2"/>
  <c r="B22" i="2"/>
  <c r="I23" i="2"/>
  <c r="I24" i="2"/>
  <c r="B23" i="1" s="1"/>
  <c r="D23" i="1" s="1"/>
  <c r="E23" i="1" s="1"/>
  <c r="E21" i="2"/>
  <c r="B21" i="2"/>
  <c r="B22" i="1" l="1"/>
  <c r="D22" i="1" s="1"/>
  <c r="E22" i="1" s="1"/>
  <c r="C6" i="11" s="1"/>
  <c r="H6" i="8"/>
  <c r="E25" i="1"/>
  <c r="H22" i="2"/>
  <c r="I22" i="2" s="1"/>
  <c r="B21" i="1" s="1"/>
  <c r="D21" i="1" s="1"/>
  <c r="E21" i="1" s="1"/>
  <c r="H21" i="2"/>
  <c r="E35" i="1" l="1"/>
  <c r="I21" i="2"/>
  <c r="E20" i="2"/>
  <c r="F20" i="2" s="1"/>
  <c r="B20" i="2"/>
  <c r="C20" i="2" s="1"/>
  <c r="B20" i="1" l="1"/>
  <c r="D20" i="1" s="1"/>
  <c r="E20" i="1" s="1"/>
  <c r="H20" i="2"/>
  <c r="E19" i="2"/>
  <c r="F19" i="2" s="1"/>
  <c r="B19" i="2"/>
  <c r="C19" i="2" s="1"/>
  <c r="H19" i="2" l="1"/>
  <c r="E18" i="2"/>
  <c r="B18" i="2"/>
  <c r="H18" i="2" l="1"/>
  <c r="E17" i="2"/>
  <c r="B17" i="2"/>
  <c r="H17" i="2" l="1"/>
  <c r="E16" i="2"/>
  <c r="B16" i="2"/>
  <c r="H16" i="2" l="1"/>
  <c r="E15" i="2"/>
  <c r="B15" i="2"/>
  <c r="H15" i="2" l="1"/>
  <c r="E14" i="2"/>
  <c r="B14" i="2"/>
  <c r="H14" i="2" l="1"/>
  <c r="E13" i="2"/>
  <c r="B13" i="2"/>
  <c r="H13" i="2" l="1"/>
  <c r="E12" i="2"/>
  <c r="B12" i="2"/>
  <c r="E11" i="2" l="1"/>
  <c r="B11" i="2"/>
  <c r="E10" i="2" l="1"/>
  <c r="E36" i="2" s="1"/>
  <c r="B10" i="2"/>
  <c r="B36" i="2" s="1"/>
  <c r="H10" i="2" l="1"/>
  <c r="E9" i="2"/>
  <c r="B9" i="2"/>
  <c r="H9" i="2" s="1"/>
  <c r="H4" i="8" l="1"/>
  <c r="I9" i="2"/>
  <c r="B8" i="1" l="1"/>
  <c r="E22" i="7" l="1"/>
  <c r="C10" i="1" s="1"/>
  <c r="E26" i="7" l="1"/>
  <c r="C14" i="1" s="1"/>
  <c r="E21" i="7"/>
  <c r="E30" i="7"/>
  <c r="C18" i="1" s="1"/>
  <c r="E29" i="7"/>
  <c r="C17" i="1" s="1"/>
  <c r="H12" i="2"/>
  <c r="H11" i="2"/>
  <c r="H5" i="8" l="1"/>
  <c r="H36" i="2"/>
  <c r="C9" i="1"/>
  <c r="E24" i="7"/>
  <c r="C12" i="1" s="1"/>
  <c r="E23" i="7"/>
  <c r="C11" i="1" s="1"/>
  <c r="E27" i="7"/>
  <c r="C15" i="1" s="1"/>
  <c r="E28" i="7"/>
  <c r="C16" i="1" s="1"/>
  <c r="E25" i="7"/>
  <c r="C13" i="1" s="1"/>
  <c r="I20" i="2"/>
  <c r="B19" i="1" s="1"/>
  <c r="I13" i="2"/>
  <c r="B12" i="1" s="1"/>
  <c r="I11" i="2"/>
  <c r="B10" i="1" s="1"/>
  <c r="I12" i="2"/>
  <c r="B11" i="1" s="1"/>
  <c r="I14" i="2"/>
  <c r="B13" i="1" s="1"/>
  <c r="I15" i="2"/>
  <c r="B14" i="1" s="1"/>
  <c r="I16" i="2"/>
  <c r="B15" i="1" s="1"/>
  <c r="I17" i="2"/>
  <c r="B16" i="1" s="1"/>
  <c r="I18" i="2"/>
  <c r="B17" i="1" s="1"/>
  <c r="I19" i="2"/>
  <c r="B18" i="1" s="1"/>
  <c r="D19" i="1" l="1"/>
  <c r="E19" i="1" s="1"/>
  <c r="D14" i="1"/>
  <c r="E14" i="1" s="1"/>
  <c r="D15" i="1"/>
  <c r="E15" i="1" s="1"/>
  <c r="D12" i="1"/>
  <c r="E12" i="1" s="1"/>
  <c r="I10" i="2"/>
  <c r="I36" i="2" s="1"/>
  <c r="D18" i="1"/>
  <c r="E18" i="1" s="1"/>
  <c r="D16" i="1"/>
  <c r="E16" i="1" s="1"/>
  <c r="D17" i="1"/>
  <c r="E17" i="1" s="1"/>
  <c r="D11" i="1"/>
  <c r="E11" i="1" s="1"/>
  <c r="D10" i="1"/>
  <c r="E10" i="1" s="1"/>
  <c r="D13" i="1"/>
  <c r="E13" i="1" s="1"/>
  <c r="B9" i="1" l="1"/>
  <c r="D9" i="1" l="1"/>
  <c r="D35" i="1" s="1"/>
  <c r="B35" i="1"/>
  <c r="E9" i="1" l="1"/>
  <c r="C6" i="4" l="1"/>
  <c r="D6" i="4" s="1"/>
</calcChain>
</file>

<file path=xl/sharedStrings.xml><?xml version="1.0" encoding="utf-8"?>
<sst xmlns="http://schemas.openxmlformats.org/spreadsheetml/2006/main" count="249" uniqueCount="131">
  <si>
    <t>Liki Pinangawan Muaralaboh Geothermal Power Plant</t>
  </si>
  <si>
    <t>Period</t>
  </si>
  <si>
    <t>Net Export Electricity</t>
  </si>
  <si>
    <t>MWh</t>
  </si>
  <si>
    <t>Export Electricity (kWh)</t>
  </si>
  <si>
    <t>Import Electricity (kWH)</t>
  </si>
  <si>
    <t>Invoice</t>
  </si>
  <si>
    <t>Monitoring Meter</t>
  </si>
  <si>
    <t>Total</t>
  </si>
  <si>
    <t>Baseline Emission</t>
  </si>
  <si>
    <t>Project Emission</t>
  </si>
  <si>
    <t>EF:</t>
  </si>
  <si>
    <t>Project Emission from Fossil Fuel Combustion</t>
  </si>
  <si>
    <t>Diesel Fuel Consumption</t>
  </si>
  <si>
    <t>m3</t>
  </si>
  <si>
    <r>
      <t>COEF</t>
    </r>
    <r>
      <rPr>
        <vertAlign val="subscript"/>
        <sz val="11"/>
        <color theme="1"/>
        <rFont val="Arial"/>
        <family val="2"/>
      </rPr>
      <t>y     =</t>
    </r>
  </si>
  <si>
    <t>=</t>
  </si>
  <si>
    <r>
      <t>36.54 GJ/m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x 0.0748 tCO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/GJ</t>
    </r>
  </si>
  <si>
    <t>tCO2/m3</t>
  </si>
  <si>
    <t>%</t>
  </si>
  <si>
    <t>NCG</t>
  </si>
  <si>
    <t>tCO2/tCH4</t>
  </si>
  <si>
    <t>Comparision of actual emission reductions with estimates in registered PDD</t>
  </si>
  <si>
    <t>From</t>
  </si>
  <si>
    <t>To</t>
  </si>
  <si>
    <t xml:space="preserve">Monitoring period: </t>
  </si>
  <si>
    <t>days</t>
  </si>
  <si>
    <t>Diviation</t>
  </si>
  <si>
    <t>Annual</t>
  </si>
  <si>
    <t>For this monitoring period</t>
  </si>
  <si>
    <r>
      <t>Values estimated in ex-ante calculation of registered PDD (tCO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eq)</t>
    </r>
  </si>
  <si>
    <r>
      <t>Actual values achieved during this monitoring period (tCO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eq)</t>
    </r>
  </si>
  <si>
    <r>
      <t>PE</t>
    </r>
    <r>
      <rPr>
        <b/>
        <vertAlign val="subscript"/>
        <sz val="10"/>
        <color theme="1"/>
        <rFont val="Arial"/>
        <family val="2"/>
      </rPr>
      <t>FC,y</t>
    </r>
  </si>
  <si>
    <r>
      <t>M</t>
    </r>
    <r>
      <rPr>
        <b/>
        <sz val="9"/>
        <color theme="1"/>
        <rFont val="Calibri"/>
        <family val="2"/>
        <scheme val="minor"/>
      </rPr>
      <t>steam</t>
    </r>
  </si>
  <si>
    <r>
      <t>t</t>
    </r>
    <r>
      <rPr>
        <b/>
        <sz val="9"/>
        <color theme="1"/>
        <rFont val="Calibri"/>
        <family val="2"/>
        <scheme val="minor"/>
      </rPr>
      <t>steam</t>
    </r>
  </si>
  <si>
    <r>
      <t>W</t>
    </r>
    <r>
      <rPr>
        <b/>
        <sz val="9"/>
        <color theme="1"/>
        <rFont val="Calibri"/>
        <family val="2"/>
        <scheme val="minor"/>
      </rPr>
      <t>steamCO</t>
    </r>
    <r>
      <rPr>
        <b/>
        <sz val="8"/>
        <color theme="1"/>
        <rFont val="Calibri"/>
        <family val="2"/>
        <scheme val="minor"/>
      </rPr>
      <t>2</t>
    </r>
  </si>
  <si>
    <r>
      <t>W</t>
    </r>
    <r>
      <rPr>
        <b/>
        <sz val="9"/>
        <color theme="1"/>
        <rFont val="Calibri"/>
        <family val="2"/>
        <scheme val="minor"/>
      </rPr>
      <t>steamCH</t>
    </r>
    <r>
      <rPr>
        <b/>
        <sz val="8"/>
        <color theme="1"/>
        <rFont val="Calibri"/>
        <family val="2"/>
        <scheme val="minor"/>
      </rPr>
      <t>4</t>
    </r>
  </si>
  <si>
    <r>
      <t>PE</t>
    </r>
    <r>
      <rPr>
        <b/>
        <sz val="9"/>
        <color theme="1"/>
        <rFont val="Calibri"/>
        <family val="2"/>
        <scheme val="minor"/>
      </rPr>
      <t>GP</t>
    </r>
  </si>
  <si>
    <r>
      <t>tCO</t>
    </r>
    <r>
      <rPr>
        <b/>
        <sz val="8"/>
        <color theme="1"/>
        <rFont val="Calibri"/>
        <family val="2"/>
        <scheme val="minor"/>
      </rPr>
      <t>2</t>
    </r>
  </si>
  <si>
    <r>
      <t>GWP CH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</t>
    </r>
  </si>
  <si>
    <r>
      <t>tCO</t>
    </r>
    <r>
      <rPr>
        <b/>
        <sz val="8"/>
        <color theme="1"/>
        <rFont val="Arial"/>
        <family val="2"/>
      </rPr>
      <t>2</t>
    </r>
  </si>
  <si>
    <r>
      <t>tCO</t>
    </r>
    <r>
      <rPr>
        <sz val="8"/>
        <color theme="1"/>
        <rFont val="Arial"/>
        <family val="2"/>
      </rPr>
      <t>2</t>
    </r>
    <r>
      <rPr>
        <sz val="11"/>
        <color theme="1"/>
        <rFont val="Arial"/>
        <family val="2"/>
      </rPr>
      <t>/MWh</t>
    </r>
  </si>
  <si>
    <t>Average
Prod Wells</t>
  </si>
  <si>
    <t>Average
Separator</t>
  </si>
  <si>
    <t xml:space="preserve">Average
(%) </t>
  </si>
  <si>
    <t>CH4</t>
  </si>
  <si>
    <t>ppm</t>
  </si>
  <si>
    <t>Production Wells</t>
  </si>
  <si>
    <t>Separator</t>
  </si>
  <si>
    <t>HPA</t>
  </si>
  <si>
    <t>HPB</t>
  </si>
  <si>
    <t>LP</t>
  </si>
  <si>
    <t>CO2</t>
  </si>
  <si>
    <t>Round down</t>
  </si>
  <si>
    <t>Roundown</t>
  </si>
  <si>
    <r>
      <t>Emission Reduction (tCO</t>
    </r>
    <r>
      <rPr>
        <b/>
        <sz val="9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</si>
  <si>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(1-2)</t>
  </si>
  <si>
    <t>(1-3)</t>
  </si>
  <si>
    <t>01/11/2020 - 30/11/2020</t>
  </si>
  <si>
    <t>01/12/2020 - 31/12/2020</t>
  </si>
  <si>
    <t>01/01/2021 - 31/01/2021</t>
  </si>
  <si>
    <t>01/02/2021 - 29/02/2021</t>
  </si>
  <si>
    <t>01/03/2021 - 31/03/2021</t>
  </si>
  <si>
    <t>01/04/2021 - 30/04/2021</t>
  </si>
  <si>
    <t>01/05/2021- 31/05/2021</t>
  </si>
  <si>
    <t>01/06/2021 - 30/06/2021</t>
  </si>
  <si>
    <t>01/07/2021 - 31/07/2021</t>
  </si>
  <si>
    <t>01/08/2021 - 31/08/2021</t>
  </si>
  <si>
    <t>01/09/2021 - 30/09/2021</t>
  </si>
  <si>
    <t>01/10/2021 - 31/10/2021</t>
  </si>
  <si>
    <t>01/05/2021 - 31/05/2021</t>
  </si>
  <si>
    <t>01/11/2021 - 30/11/2021</t>
  </si>
  <si>
    <t>01/12/2021 - 31/12/2021</t>
  </si>
  <si>
    <t>01/01/2022 - 31/01/2022</t>
  </si>
  <si>
    <t>01/02/2022 - 29/02/2022</t>
  </si>
  <si>
    <t>01/03/2022 - 31/03/2022</t>
  </si>
  <si>
    <t>01/04/2022 - 30/04/2022</t>
  </si>
  <si>
    <t>01/05/2022 - 31/05/2022</t>
  </si>
  <si>
    <t>01/06/2022 - 30/06/2022</t>
  </si>
  <si>
    <t>01/07/2022 - 31/07/2022</t>
  </si>
  <si>
    <t>01/08/2022 - 31/08/2022</t>
  </si>
  <si>
    <t>01/09/2022 - 30/09/2022</t>
  </si>
  <si>
    <t>01/10/2022 - 31/10/2022</t>
  </si>
  <si>
    <t>01/11/2022 - 30/11/2022</t>
  </si>
  <si>
    <t>01/12/2022 - 31/12/2022</t>
  </si>
  <si>
    <t>01/01/2023 - 31/01/2023</t>
  </si>
  <si>
    <t>Monitoring Period : 01/11/2020 - 31/01/2023</t>
  </si>
  <si>
    <t>Monitoring Report 01/11/2020 - 31/01/2023</t>
  </si>
  <si>
    <t>(tCO2/tsteam)</t>
  </si>
  <si>
    <t xml:space="preserve">CH4 </t>
  </si>
  <si>
    <t>(tCH4/tsteam)</t>
  </si>
  <si>
    <t>Apply correction from 01/11/2020 - 31/01/2023 :</t>
  </si>
  <si>
    <r>
      <t>CO</t>
    </r>
    <r>
      <rPr>
        <vertAlign val="sub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</t>
    </r>
  </si>
  <si>
    <t>01/11/2020 - 31/12/2020</t>
  </si>
  <si>
    <t>01/01/2021 - 31/12/2021</t>
  </si>
  <si>
    <t>01/01/2022 - 31/12/2022</t>
  </si>
  <si>
    <r>
      <t>PE</t>
    </r>
    <r>
      <rPr>
        <b/>
        <vertAlign val="subscript"/>
        <sz val="10"/>
        <color theme="1"/>
        <rFont val="Verdana"/>
        <family val="2"/>
      </rPr>
      <t>FC,y</t>
    </r>
  </si>
  <si>
    <r>
      <t>tCO</t>
    </r>
    <r>
      <rPr>
        <b/>
        <sz val="8"/>
        <color theme="1"/>
        <rFont val="Verdana"/>
        <family val="2"/>
      </rPr>
      <t>2</t>
    </r>
  </si>
  <si>
    <t>Msteam correction =</t>
  </si>
  <si>
    <r>
      <rPr>
        <b/>
        <sz val="11"/>
        <rFont val="Calibri"/>
        <family val="2"/>
      </rPr>
      <t>No</t>
    </r>
  </si>
  <si>
    <r>
      <rPr>
        <b/>
        <sz val="11"/>
        <rFont val="Calibri"/>
        <family val="2"/>
      </rPr>
      <t>Perusahaan</t>
    </r>
  </si>
  <si>
    <r>
      <rPr>
        <b/>
        <sz val="11"/>
        <rFont val="Calibri"/>
        <family val="2"/>
      </rPr>
      <t>Karyawan</t>
    </r>
  </si>
  <si>
    <r>
      <rPr>
        <b/>
        <sz val="11"/>
        <rFont val="Calibri"/>
        <family val="2"/>
      </rPr>
      <t>Jumlah</t>
    </r>
  </si>
  <si>
    <r>
      <rPr>
        <b/>
        <sz val="11"/>
        <rFont val="Calibri"/>
        <family val="2"/>
      </rPr>
      <t>Laki-laki</t>
    </r>
  </si>
  <si>
    <r>
      <rPr>
        <b/>
        <sz val="11"/>
        <rFont val="Calibri"/>
        <family val="2"/>
      </rPr>
      <t>Perempuan</t>
    </r>
  </si>
  <si>
    <r>
      <rPr>
        <b/>
        <sz val="11"/>
        <rFont val="Calibri"/>
        <family val="2"/>
      </rPr>
      <t>Lokal</t>
    </r>
  </si>
  <si>
    <r>
      <rPr>
        <b/>
        <sz val="11"/>
        <rFont val="Calibri"/>
        <family val="2"/>
      </rPr>
      <t>Non Lokal</t>
    </r>
  </si>
  <si>
    <r>
      <rPr>
        <sz val="11"/>
        <rFont val="Calibri"/>
        <family val="2"/>
      </rPr>
      <t>SEML</t>
    </r>
  </si>
  <si>
    <r>
      <rPr>
        <sz val="11"/>
        <rFont val="Calibri"/>
        <family val="2"/>
      </rPr>
      <t>PT SEML</t>
    </r>
  </si>
  <si>
    <r>
      <rPr>
        <sz val="11"/>
        <rFont val="Calibri"/>
        <family val="2"/>
      </rPr>
      <t>Kontraktor</t>
    </r>
  </si>
  <si>
    <r>
      <rPr>
        <sz val="11"/>
        <rFont val="Calibri"/>
        <family val="2"/>
      </rPr>
      <t>Rentokil</t>
    </r>
  </si>
  <si>
    <r>
      <rPr>
        <sz val="11"/>
        <rFont val="Calibri"/>
        <family val="2"/>
      </rPr>
      <t>UAP</t>
    </r>
  </si>
  <si>
    <r>
      <rPr>
        <sz val="11"/>
        <rFont val="Calibri"/>
        <family val="2"/>
      </rPr>
      <t>DKB</t>
    </r>
  </si>
  <si>
    <r>
      <rPr>
        <sz val="11"/>
        <rFont val="Calibri"/>
        <family val="2"/>
      </rPr>
      <t>KPSMP</t>
    </r>
  </si>
  <si>
    <r>
      <rPr>
        <sz val="11"/>
        <rFont val="Calibri"/>
        <family val="2"/>
      </rPr>
      <t>MT</t>
    </r>
  </si>
  <si>
    <r>
      <rPr>
        <sz val="11"/>
        <rFont val="Calibri"/>
        <family val="2"/>
      </rPr>
      <t>TPB</t>
    </r>
  </si>
  <si>
    <r>
      <rPr>
        <sz val="11"/>
        <rFont val="Calibri"/>
        <family val="2"/>
      </rPr>
      <t>Sekurindo</t>
    </r>
  </si>
  <si>
    <r>
      <rPr>
        <sz val="11"/>
        <rFont val="Calibri"/>
        <family val="2"/>
      </rPr>
      <t>Ecolab</t>
    </r>
  </si>
  <si>
    <r>
      <rPr>
        <sz val="11"/>
        <rFont val="Calibri"/>
        <family val="2"/>
      </rPr>
      <t>Persentase</t>
    </r>
  </si>
  <si>
    <t>MT</t>
  </si>
  <si>
    <t>PGK</t>
  </si>
  <si>
    <t>PAD</t>
  </si>
  <si>
    <r>
      <t>tCO</t>
    </r>
    <r>
      <rPr>
        <b/>
        <sz val="9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/tsteam</t>
    </r>
  </si>
  <si>
    <t>tCO2/tsteam</t>
  </si>
  <si>
    <t>Year</t>
  </si>
  <si>
    <t>(MWh)</t>
  </si>
  <si>
    <t>Emission Reduction</t>
  </si>
  <si>
    <t>(tCO2)</t>
  </si>
  <si>
    <t>EMPLOYEE DATA 2021</t>
  </si>
  <si>
    <t>EMPLOYEE DATA 2022</t>
  </si>
  <si>
    <t>EMPLOYEE DATA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</si>
</sst>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/mm/yyyy;@"/>
    <numFmt numFmtId="166" formatCode="#,##0_ "/>
    <numFmt numFmtId="167" formatCode="0.000"/>
    <numFmt numFmtId="168" formatCode="#,##0.000"/>
    <numFmt numFmtId="169" formatCode="#,##0.0000"/>
    <numFmt numFmtId="170" formatCode="0.000E+00"/>
    <numFmt numFmtId="171" formatCode="[$-409]mmm\-yy;@"/>
    <numFmt numFmtId="172" formatCode="0.0000"/>
    <numFmt numFmtId="173" formatCode="0.000000"/>
  </numFmts>
  <fonts count="4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bscript"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  <font>
      <b/>
      <vertAlign val="subscript"/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4"/>
      <name val="Calibri"/>
      <family val="2"/>
    </font>
    <font>
      <b/>
      <sz val="11"/>
      <name val="Calibri"/>
    </font>
    <font>
      <b/>
      <sz val="11"/>
      <name val="Calibri"/>
      <family val="2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5DFB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11" fillId="0" borderId="0"/>
    <xf numFmtId="9" fontId="40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0" fillId="0" borderId="0" xfId="0" applyNumberFormat="1"/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3" borderId="3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12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horizontal="left" vertical="center"/>
    </xf>
    <xf numFmtId="0" fontId="14" fillId="0" borderId="0" xfId="0" applyFont="1"/>
    <xf numFmtId="49" fontId="12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166" fontId="7" fillId="0" borderId="16" xfId="0" applyNumberFormat="1" applyFont="1" applyBorder="1" applyAlignment="1">
      <alignment horizontal="center" vertical="center" wrapText="1"/>
    </xf>
    <xf numFmtId="166" fontId="7" fillId="0" borderId="17" xfId="0" applyNumberFormat="1" applyFont="1" applyBorder="1" applyAlignment="1">
      <alignment horizontal="center" vertical="center" wrapText="1"/>
    </xf>
    <xf numFmtId="10" fontId="7" fillId="0" borderId="17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20" fillId="0" borderId="0" xfId="0" applyFont="1"/>
    <xf numFmtId="167" fontId="7" fillId="0" borderId="1" xfId="0" applyNumberFormat="1" applyFont="1" applyBorder="1"/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168" fontId="0" fillId="5" borderId="1" xfId="0" applyNumberFormat="1" applyFill="1" applyBorder="1" applyAlignment="1">
      <alignment horizontal="right"/>
    </xf>
    <xf numFmtId="169" fontId="0" fillId="0" borderId="1" xfId="0" applyNumberFormat="1" applyBorder="1"/>
    <xf numFmtId="0" fontId="0" fillId="5" borderId="0" xfId="0" applyFill="1"/>
    <xf numFmtId="4" fontId="0" fillId="0" borderId="3" xfId="0" applyNumberFormat="1" applyBorder="1"/>
    <xf numFmtId="4" fontId="0" fillId="0" borderId="1" xfId="0" applyNumberFormat="1" applyBorder="1"/>
    <xf numFmtId="37" fontId="0" fillId="0" borderId="1" xfId="0" applyNumberFormat="1" applyBorder="1"/>
    <xf numFmtId="0" fontId="7" fillId="0" borderId="7" xfId="0" applyFont="1" applyBorder="1"/>
    <xf numFmtId="4" fontId="7" fillId="0" borderId="3" xfId="0" applyNumberFormat="1" applyFont="1" applyBorder="1"/>
    <xf numFmtId="4" fontId="7" fillId="0" borderId="1" xfId="0" applyNumberFormat="1" applyFont="1" applyBorder="1"/>
    <xf numFmtId="0" fontId="26" fillId="2" borderId="3" xfId="0" applyFont="1" applyFill="1" applyBorder="1" applyAlignment="1">
      <alignment horizontal="center"/>
    </xf>
    <xf numFmtId="3" fontId="7" fillId="0" borderId="1" xfId="0" applyNumberFormat="1" applyFont="1" applyBorder="1"/>
    <xf numFmtId="4" fontId="7" fillId="0" borderId="1" xfId="0" applyNumberFormat="1" applyFont="1" applyBorder="1" applyAlignment="1">
      <alignment horizontal="right"/>
    </xf>
    <xf numFmtId="3" fontId="0" fillId="5" borderId="0" xfId="0" applyNumberFormat="1" applyFill="1"/>
    <xf numFmtId="0" fontId="7" fillId="5" borderId="3" xfId="0" applyFont="1" applyFill="1" applyBorder="1" applyAlignment="1">
      <alignment horizontal="left" vertical="center"/>
    </xf>
    <xf numFmtId="166" fontId="28" fillId="0" borderId="0" xfId="0" applyNumberFormat="1" applyFont="1" applyAlignment="1">
      <alignment horizontal="right" vertical="center"/>
    </xf>
    <xf numFmtId="165" fontId="7" fillId="0" borderId="15" xfId="0" applyNumberFormat="1" applyFont="1" applyBorder="1" applyAlignment="1">
      <alignment horizontal="right" vertical="center"/>
    </xf>
    <xf numFmtId="49" fontId="28" fillId="0" borderId="11" xfId="0" applyNumberFormat="1" applyFont="1" applyBorder="1" applyAlignment="1">
      <alignment horizontal="left" vertical="center"/>
    </xf>
    <xf numFmtId="10" fontId="4" fillId="2" borderId="3" xfId="0" applyNumberFormat="1" applyFont="1" applyFill="1" applyBorder="1" applyAlignment="1">
      <alignment horizontal="center"/>
    </xf>
    <xf numFmtId="0" fontId="0" fillId="2" borderId="0" xfId="0" applyFill="1"/>
    <xf numFmtId="10" fontId="4" fillId="2" borderId="24" xfId="0" applyNumberFormat="1" applyFont="1" applyFill="1" applyBorder="1" applyAlignment="1">
      <alignment horizontal="center"/>
    </xf>
    <xf numFmtId="0" fontId="0" fillId="2" borderId="1" xfId="0" applyFill="1" applyBorder="1"/>
    <xf numFmtId="10" fontId="0" fillId="0" borderId="0" xfId="0" applyNumberFormat="1" applyAlignment="1">
      <alignment horizontal="left"/>
    </xf>
    <xf numFmtId="164" fontId="7" fillId="5" borderId="3" xfId="0" applyNumberFormat="1" applyFont="1" applyFill="1" applyBorder="1" applyAlignment="1">
      <alignment horizontal="center"/>
    </xf>
    <xf numFmtId="4" fontId="7" fillId="5" borderId="3" xfId="0" applyNumberFormat="1" applyFont="1" applyFill="1" applyBorder="1" applyAlignment="1">
      <alignment horizontal="right"/>
    </xf>
    <xf numFmtId="4" fontId="7" fillId="5" borderId="3" xfId="0" applyNumberFormat="1" applyFont="1" applyFill="1" applyBorder="1"/>
    <xf numFmtId="4" fontId="7" fillId="5" borderId="1" xfId="0" applyNumberFormat="1" applyFont="1" applyFill="1" applyBorder="1"/>
    <xf numFmtId="171" fontId="0" fillId="0" borderId="1" xfId="0" applyNumberFormat="1" applyBorder="1" applyAlignment="1">
      <alignment horizontal="center"/>
    </xf>
    <xf numFmtId="0" fontId="10" fillId="0" borderId="31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 wrapText="1"/>
    </xf>
    <xf numFmtId="166" fontId="7" fillId="0" borderId="33" xfId="0" applyNumberFormat="1" applyFont="1" applyBorder="1" applyAlignment="1">
      <alignment horizontal="center" vertical="center" wrapText="1"/>
    </xf>
    <xf numFmtId="10" fontId="7" fillId="0" borderId="34" xfId="0" applyNumberFormat="1" applyFont="1" applyBorder="1" applyAlignment="1">
      <alignment horizontal="center" vertical="center" wrapText="1"/>
    </xf>
    <xf numFmtId="166" fontId="7" fillId="0" borderId="28" xfId="0" applyNumberFormat="1" applyFont="1" applyBorder="1" applyAlignment="1">
      <alignment horizontal="center" vertical="center" wrapText="1"/>
    </xf>
    <xf numFmtId="14" fontId="7" fillId="0" borderId="15" xfId="0" applyNumberFormat="1" applyFont="1" applyBorder="1" applyAlignment="1">
      <alignment horizontal="right" vertical="center"/>
    </xf>
    <xf numFmtId="3" fontId="0" fillId="5" borderId="3" xfId="0" applyNumberFormat="1" applyFill="1" applyBorder="1" applyAlignment="1">
      <alignment horizontal="right"/>
    </xf>
    <xf numFmtId="3" fontId="0" fillId="5" borderId="3" xfId="0" applyNumberFormat="1" applyFill="1" applyBorder="1"/>
    <xf numFmtId="3" fontId="0" fillId="5" borderId="1" xfId="0" applyNumberFormat="1" applyFill="1" applyBorder="1" applyAlignment="1">
      <alignment horizontal="right"/>
    </xf>
    <xf numFmtId="4" fontId="0" fillId="5" borderId="3" xfId="0" applyNumberFormat="1" applyFill="1" applyBorder="1"/>
    <xf numFmtId="4" fontId="0" fillId="5" borderId="1" xfId="0" applyNumberFormat="1" applyFill="1" applyBorder="1"/>
    <xf numFmtId="169" fontId="0" fillId="5" borderId="3" xfId="0" applyNumberFormat="1" applyFill="1" applyBorder="1"/>
    <xf numFmtId="169" fontId="0" fillId="5" borderId="1" xfId="0" applyNumberFormat="1" applyFill="1" applyBorder="1"/>
    <xf numFmtId="0" fontId="7" fillId="5" borderId="1" xfId="0" applyFont="1" applyFill="1" applyBorder="1"/>
    <xf numFmtId="0" fontId="7" fillId="5" borderId="3" xfId="0" applyFont="1" applyFill="1" applyBorder="1" applyAlignment="1">
      <alignment horizontal="center"/>
    </xf>
    <xf numFmtId="4" fontId="7" fillId="2" borderId="3" xfId="0" applyNumberFormat="1" applyFont="1" applyFill="1" applyBorder="1"/>
    <xf numFmtId="4" fontId="7" fillId="5" borderId="1" xfId="0" applyNumberFormat="1" applyFont="1" applyFill="1" applyBorder="1" applyAlignment="1">
      <alignment horizontal="right"/>
    </xf>
    <xf numFmtId="164" fontId="7" fillId="5" borderId="3" xfId="0" applyNumberFormat="1" applyFont="1" applyFill="1" applyBorder="1" applyAlignment="1">
      <alignment horizontal="right" indent="1"/>
    </xf>
    <xf numFmtId="17" fontId="0" fillId="0" borderId="1" xfId="0" applyNumberFormat="1" applyBorder="1" applyAlignment="1">
      <alignment horizontal="center"/>
    </xf>
    <xf numFmtId="37" fontId="0" fillId="0" borderId="0" xfId="0" applyNumberFormat="1"/>
    <xf numFmtId="3" fontId="0" fillId="5" borderId="1" xfId="0" applyNumberFormat="1" applyFill="1" applyBorder="1"/>
    <xf numFmtId="2" fontId="0" fillId="5" borderId="1" xfId="0" applyNumberFormat="1" applyFill="1" applyBorder="1"/>
    <xf numFmtId="172" fontId="0" fillId="5" borderId="1" xfId="0" applyNumberFormat="1" applyFill="1" applyBorder="1"/>
    <xf numFmtId="37" fontId="29" fillId="4" borderId="22" xfId="2" applyNumberFormat="1" applyFont="1" applyFill="1" applyBorder="1"/>
    <xf numFmtId="37" fontId="30" fillId="5" borderId="1" xfId="2" applyNumberFormat="1" applyFont="1" applyFill="1" applyBorder="1"/>
    <xf numFmtId="17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right"/>
    </xf>
    <xf numFmtId="168" fontId="0" fillId="5" borderId="0" xfId="0" applyNumberFormat="1" applyFill="1" applyAlignment="1">
      <alignment horizontal="right"/>
    </xf>
    <xf numFmtId="2" fontId="0" fillId="5" borderId="0" xfId="0" applyNumberFormat="1" applyFill="1"/>
    <xf numFmtId="4" fontId="0" fillId="5" borderId="0" xfId="0" applyNumberFormat="1" applyFill="1"/>
    <xf numFmtId="172" fontId="0" fillId="5" borderId="0" xfId="0" applyNumberFormat="1" applyFill="1"/>
    <xf numFmtId="169" fontId="0" fillId="0" borderId="0" xfId="0" applyNumberFormat="1"/>
    <xf numFmtId="37" fontId="30" fillId="6" borderId="1" xfId="2" applyNumberFormat="1" applyFont="1" applyFill="1" applyBorder="1"/>
    <xf numFmtId="37" fontId="30" fillId="4" borderId="1" xfId="2" applyNumberFormat="1" applyFont="1" applyFill="1" applyBorder="1"/>
    <xf numFmtId="17" fontId="0" fillId="5" borderId="3" xfId="0" applyNumberFormat="1" applyFill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70" fontId="0" fillId="0" borderId="0" xfId="0" applyNumberFormat="1"/>
    <xf numFmtId="0" fontId="0" fillId="5" borderId="0" xfId="0" applyFill="1" applyAlignment="1">
      <alignment horizontal="center"/>
    </xf>
    <xf numFmtId="0" fontId="19" fillId="5" borderId="0" xfId="0" applyFont="1" applyFill="1" applyAlignment="1">
      <alignment horizontal="center"/>
    </xf>
    <xf numFmtId="17" fontId="0" fillId="6" borderId="1" xfId="0" applyNumberFormat="1" applyFill="1" applyBorder="1" applyAlignment="1">
      <alignment horizontal="center"/>
    </xf>
    <xf numFmtId="4" fontId="0" fillId="6" borderId="3" xfId="0" applyNumberFormat="1" applyFill="1" applyBorder="1"/>
    <xf numFmtId="4" fontId="0" fillId="6" borderId="1" xfId="0" applyNumberFormat="1" applyFill="1" applyBorder="1"/>
    <xf numFmtId="172" fontId="0" fillId="0" borderId="1" xfId="0" applyNumberFormat="1" applyBorder="1"/>
    <xf numFmtId="172" fontId="7" fillId="5" borderId="1" xfId="0" applyNumberFormat="1" applyFont="1" applyFill="1" applyBorder="1"/>
    <xf numFmtId="172" fontId="7" fillId="0" borderId="1" xfId="0" applyNumberFormat="1" applyFont="1" applyBorder="1"/>
    <xf numFmtId="173" fontId="0" fillId="0" borderId="1" xfId="0" applyNumberFormat="1" applyBorder="1"/>
    <xf numFmtId="3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37" fontId="19" fillId="0" borderId="1" xfId="0" applyNumberFormat="1" applyFont="1" applyBorder="1"/>
    <xf numFmtId="0" fontId="35" fillId="2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left"/>
    </xf>
    <xf numFmtId="172" fontId="39" fillId="0" borderId="1" xfId="0" applyNumberFormat="1" applyFont="1" applyBorder="1"/>
    <xf numFmtId="0" fontId="4" fillId="2" borderId="6" xfId="0" applyFont="1" applyFill="1" applyBorder="1"/>
    <xf numFmtId="0" fontId="4" fillId="2" borderId="27" xfId="0" applyFont="1" applyFill="1" applyBorder="1"/>
    <xf numFmtId="0" fontId="4" fillId="2" borderId="1" xfId="0" applyFont="1" applyFill="1" applyBorder="1" applyAlignment="1">
      <alignment horizontal="center"/>
    </xf>
    <xf numFmtId="3" fontId="41" fillId="0" borderId="0" xfId="0" applyNumberFormat="1" applyFont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/>
    </xf>
    <xf numFmtId="9" fontId="28" fillId="0" borderId="0" xfId="3" applyFont="1" applyAlignment="1">
      <alignment horizontal="center" vertical="center"/>
    </xf>
    <xf numFmtId="10" fontId="0" fillId="5" borderId="24" xfId="3" applyNumberFormat="1" applyFont="1" applyFill="1" applyBorder="1"/>
    <xf numFmtId="172" fontId="0" fillId="0" borderId="0" xfId="0" applyNumberFormat="1"/>
    <xf numFmtId="9" fontId="11" fillId="0" borderId="32" xfId="3" applyFont="1" applyBorder="1" applyAlignment="1">
      <alignment vertical="center"/>
    </xf>
    <xf numFmtId="9" fontId="0" fillId="0" borderId="0" xfId="0" applyNumberFormat="1"/>
    <xf numFmtId="0" fontId="43" fillId="8" borderId="40" xfId="0" applyFont="1" applyFill="1" applyBorder="1" applyAlignment="1">
      <alignment horizontal="center" vertical="top" wrapText="1"/>
    </xf>
    <xf numFmtId="0" fontId="45" fillId="0" borderId="37" xfId="0" applyFont="1" applyBorder="1" applyAlignment="1">
      <alignment horizontal="left" vertical="top" wrapText="1"/>
    </xf>
    <xf numFmtId="1" fontId="47" fillId="0" borderId="40" xfId="0" applyNumberFormat="1" applyFont="1" applyBorder="1" applyAlignment="1">
      <alignment horizontal="center" vertical="top" shrinkToFit="1"/>
    </xf>
    <xf numFmtId="0" fontId="45" fillId="0" borderId="40" xfId="0" applyFont="1" applyBorder="1" applyAlignment="1">
      <alignment horizontal="left" vertical="top" wrapText="1"/>
    </xf>
    <xf numFmtId="1" fontId="48" fillId="0" borderId="40" xfId="0" applyNumberFormat="1" applyFont="1" applyBorder="1" applyAlignment="1">
      <alignment horizontal="center" vertical="top" shrinkToFit="1"/>
    </xf>
    <xf numFmtId="1" fontId="47" fillId="0" borderId="36" xfId="0" applyNumberFormat="1" applyFont="1" applyBorder="1" applyAlignment="1">
      <alignment horizontal="center" vertical="top" shrinkToFit="1"/>
    </xf>
    <xf numFmtId="0" fontId="0" fillId="0" borderId="42" xfId="0" applyBorder="1" applyAlignment="1">
      <alignment horizontal="left" wrapText="1"/>
    </xf>
    <xf numFmtId="0" fontId="45" fillId="0" borderId="42" xfId="0" applyFont="1" applyBorder="1" applyAlignment="1">
      <alignment horizontal="left" vertical="top" wrapText="1"/>
    </xf>
    <xf numFmtId="9" fontId="47" fillId="0" borderId="42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wrapText="1"/>
    </xf>
    <xf numFmtId="0" fontId="46" fillId="0" borderId="40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0" fillId="0" borderId="1" xfId="0" applyNumberFormat="1" applyBorder="1"/>
    <xf numFmtId="0" fontId="20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left"/>
    </xf>
    <xf numFmtId="49" fontId="13" fillId="0" borderId="0" xfId="0" applyNumberFormat="1" applyFont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3" fillId="8" borderId="35" xfId="0" applyFont="1" applyFill="1" applyBorder="1" applyAlignment="1">
      <alignment horizontal="center" vertical="top" wrapText="1"/>
    </xf>
    <xf numFmtId="0" fontId="43" fillId="8" borderId="39" xfId="0" applyFont="1" applyFill="1" applyBorder="1" applyAlignment="1">
      <alignment horizontal="center" vertical="top" wrapText="1"/>
    </xf>
    <xf numFmtId="0" fontId="43" fillId="8" borderId="36" xfId="0" applyFont="1" applyFill="1" applyBorder="1" applyAlignment="1">
      <alignment horizontal="left" vertical="top" wrapText="1" indent="4"/>
    </xf>
    <xf numFmtId="0" fontId="43" fillId="8" borderId="37" xfId="0" applyFont="1" applyFill="1" applyBorder="1" applyAlignment="1">
      <alignment horizontal="left" vertical="top" wrapText="1" indent="4"/>
    </xf>
    <xf numFmtId="0" fontId="0" fillId="0" borderId="38" xfId="0" applyBorder="1" applyAlignment="1">
      <alignment horizontal="left" vertical="top" wrapText="1"/>
    </xf>
    <xf numFmtId="0" fontId="45" fillId="0" borderId="36" xfId="0" applyFont="1" applyBorder="1" applyAlignment="1">
      <alignment horizontal="left" vertical="top" wrapText="1"/>
    </xf>
    <xf numFmtId="0" fontId="45" fillId="0" borderId="41" xfId="0" applyFont="1" applyBorder="1" applyAlignment="1">
      <alignment horizontal="left" vertical="top" wrapText="1"/>
    </xf>
    <xf numFmtId="0" fontId="45" fillId="0" borderId="37" xfId="0" applyFont="1" applyBorder="1" applyAlignment="1">
      <alignment horizontal="left" vertical="top" wrapText="1"/>
    </xf>
    <xf numFmtId="0" fontId="43" fillId="0" borderId="36" xfId="0" applyFont="1" applyBorder="1" applyAlignment="1">
      <alignment horizontal="left" vertical="top" wrapText="1"/>
    </xf>
    <xf numFmtId="0" fontId="43" fillId="0" borderId="37" xfId="0" applyFont="1" applyBorder="1" applyAlignment="1">
      <alignment horizontal="left" vertical="top" wrapText="1"/>
    </xf>
    <xf numFmtId="1" fontId="47" fillId="0" borderId="36" xfId="0" applyNumberFormat="1" applyFont="1" applyBorder="1" applyAlignment="1">
      <alignment horizontal="center" vertical="top" shrinkToFit="1"/>
    </xf>
    <xf numFmtId="1" fontId="47" fillId="0" borderId="37" xfId="0" applyNumberFormat="1" applyFont="1" applyBorder="1" applyAlignment="1">
      <alignment horizontal="center" vertical="top" shrinkToFit="1"/>
    </xf>
  </cellXfs>
  <cellStyles count="4">
    <cellStyle name="Normal" xfId="0" builtinId="0"/>
    <cellStyle name="Normal_real Mei 2005" xfId="2" xr:uid="{00000000-0005-0000-0000-000001000000}"/>
    <cellStyle name="Percent" xfId="3" builtinId="5"/>
    <cellStyle name="常规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19050</xdr:rowOff>
    </xdr:from>
    <xdr:to>
      <xdr:col>1</xdr:col>
      <xdr:colOff>88900</xdr:colOff>
      <xdr:row>2</xdr:row>
      <xdr:rowOff>50800</xdr:rowOff>
    </xdr:to>
    <xdr:sp macro="" textlink="">
      <xdr:nvSpPr>
        <xdr:cNvPr id="2" name="Picture 7" hidden="1">
          <a:extLst>
            <a:ext uri="{63B3BB69-23CF-44E3-9099-C40C66FF867C}">
              <a14:compatExt xmlns:a14="http://schemas.microsoft.com/office/drawing/2010/main" spid="_x0000_s7175"/>
            </a:ext>
            <a:ext uri="{FF2B5EF4-FFF2-40B4-BE49-F238E27FC236}">
              <a16:creationId xmlns:a16="http://schemas.microsoft.com/office/drawing/2014/main" id="{0946C4A3-33AD-47E7-9134-C28E82FD11C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4</xdr:row>
      <xdr:rowOff>25400</xdr:rowOff>
    </xdr:from>
    <xdr:to>
      <xdr:col>0</xdr:col>
      <xdr:colOff>1047750</xdr:colOff>
      <xdr:row>6</xdr:row>
      <xdr:rowOff>6350</xdr:rowOff>
    </xdr:to>
    <xdr:sp macro="" textlink="">
      <xdr:nvSpPr>
        <xdr:cNvPr id="3" name="Picture 8" hidden="1">
          <a:extLst>
            <a:ext uri="{63B3BB69-23CF-44E3-9099-C40C66FF867C}">
              <a14:compatExt xmlns:a14="http://schemas.microsoft.com/office/drawing/2010/main" spid="_x0000_s7176"/>
            </a:ext>
            <a:ext uri="{FF2B5EF4-FFF2-40B4-BE49-F238E27FC236}">
              <a16:creationId xmlns:a16="http://schemas.microsoft.com/office/drawing/2014/main" id="{85C2E82F-91DC-474F-95BB-D77CD7DBF7F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7</xdr:row>
      <xdr:rowOff>31750</xdr:rowOff>
    </xdr:to>
    <xdr:sp macro="" textlink="">
      <xdr:nvSpPr>
        <xdr:cNvPr id="4" name="Picture 9" hidden="1">
          <a:extLst>
            <a:ext uri="{63B3BB69-23CF-44E3-9099-C40C66FF867C}">
              <a14:compatExt xmlns:a14="http://schemas.microsoft.com/office/drawing/2010/main" spid="_x0000_s7177"/>
            </a:ext>
            <a:ext uri="{FF2B5EF4-FFF2-40B4-BE49-F238E27FC236}">
              <a16:creationId xmlns:a16="http://schemas.microsoft.com/office/drawing/2014/main" id="{9F7AA7B1-F1B1-4430-8C91-A24A6C30F35C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19050</xdr:colOff>
      <xdr:row>1</xdr:row>
      <xdr:rowOff>19050</xdr:rowOff>
    </xdr:from>
    <xdr:to>
      <xdr:col>1</xdr:col>
      <xdr:colOff>88900</xdr:colOff>
      <xdr:row>2</xdr:row>
      <xdr:rowOff>50800</xdr:rowOff>
    </xdr:to>
    <xdr:pic>
      <xdr:nvPicPr>
        <xdr:cNvPr id="7175" name="Picture 7">
          <a:extLst>
            <a:ext uri="{FF2B5EF4-FFF2-40B4-BE49-F238E27FC236}">
              <a16:creationId xmlns:a16="http://schemas.microsoft.com/office/drawing/2014/main" id="{55002CFF-BF31-2812-94F8-297FF1364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200"/>
          <a:ext cx="15938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4</xdr:row>
      <xdr:rowOff>25400</xdr:rowOff>
    </xdr:from>
    <xdr:to>
      <xdr:col>1</xdr:col>
      <xdr:colOff>1047750</xdr:colOff>
      <xdr:row>6</xdr:row>
      <xdr:rowOff>6350</xdr:rowOff>
    </xdr:to>
    <xdr:pic>
      <xdr:nvPicPr>
        <xdr:cNvPr id="7176" name="Picture 8">
          <a:extLst>
            <a:ext uri="{FF2B5EF4-FFF2-40B4-BE49-F238E27FC236}">
              <a16:creationId xmlns:a16="http://schemas.microsoft.com/office/drawing/2014/main" id="{0B0BBD9E-79EE-89CF-3C09-678471CBE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25527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7</xdr:row>
      <xdr:rowOff>31750</xdr:rowOff>
    </xdr:to>
    <xdr:pic>
      <xdr:nvPicPr>
        <xdr:cNvPr id="7177" name="Picture 9">
          <a:extLst>
            <a:ext uri="{FF2B5EF4-FFF2-40B4-BE49-F238E27FC236}">
              <a16:creationId xmlns:a16="http://schemas.microsoft.com/office/drawing/2014/main" id="{F5A6F6EF-9E2D-6A7D-9E50-276E0B80B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15240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1%20Metering%2011.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10%20Metering%2008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11%20Metering%2009.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12%20Metering%2010.2021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13%20Metering%2011.2021.xlsx" TargetMode="External"/><Relationship Id="rId1" Type="http://schemas.openxmlformats.org/officeDocument/2006/relationships/externalLinkPath" Target="/Project/Supreme/2021/6307%20SEML/03%20Docs/01%20KWh%20Meter/Download%20KWh/Metering%20Nov%202020%20sd%20Oct%202021/13%20Metering%2011.2021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14%20Metering%2012.2021.xlsx" TargetMode="External"/><Relationship Id="rId1" Type="http://schemas.openxmlformats.org/officeDocument/2006/relationships/externalLinkPath" Target="/Project/Supreme/2021/6307%20SEML/03%20Docs/01%20KWh%20Meter/Download%20KWh/Metering%20Nov%202020%20sd%20Oct%202021/14%20Metering%2012.2021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15%20Metering%2001.2022.xlsx" TargetMode="External"/><Relationship Id="rId1" Type="http://schemas.openxmlformats.org/officeDocument/2006/relationships/externalLinkPath" Target="/Project/Supreme/2021/6307%20SEML/03%20Docs/01%20KWh%20Meter/Download%20KWh/Metering%20Nov%202020%20sd%20Oct%202021/15%20Metering%2001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16%20Metering%2002.2022.xlsx" TargetMode="External"/><Relationship Id="rId1" Type="http://schemas.openxmlformats.org/officeDocument/2006/relationships/externalLinkPath" Target="/Project/Supreme/2021/6307%20SEML/03%20Docs/01%20KWh%20Meter/Download%20KWh/Metering%20Nov%202020%20sd%20Oct%202021/16%20Metering%2002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17%20Metering%2003.2022.xlsx" TargetMode="External"/><Relationship Id="rId1" Type="http://schemas.openxmlformats.org/officeDocument/2006/relationships/externalLinkPath" Target="/Project/Supreme/2021/6307%20SEML/03%20Docs/01%20KWh%20Meter/Download%20KWh/Metering%20Nov%202020%20sd%20Oct%202021/17%20Metering%2003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18%20Metering%2004.2022.xlsx" TargetMode="External"/><Relationship Id="rId1" Type="http://schemas.openxmlformats.org/officeDocument/2006/relationships/externalLinkPath" Target="/Project/Supreme/2021/6307%20SEML/03%20Docs/01%20KWh%20Meter/Download%20KWh/Metering%20Nov%202020%20sd%20Oct%202021/18%20Metering%2004.2022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19%20Metering%2005.2022.xlsx" TargetMode="External"/><Relationship Id="rId1" Type="http://schemas.openxmlformats.org/officeDocument/2006/relationships/externalLinkPath" Target="/Project/Supreme/2021/6307%20SEML/03%20Docs/01%20KWh%20Meter/Download%20KWh/Metering%20Nov%202020%20sd%20Oct%202021/19%20Metering%2005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2%20Metering%2012.2020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20%20Metering%2006.2022.xlsx" TargetMode="External"/><Relationship Id="rId1" Type="http://schemas.openxmlformats.org/officeDocument/2006/relationships/externalLinkPath" Target="/Project/Supreme/2021/6307%20SEML/03%20Docs/01%20KWh%20Meter/Download%20KWh/Metering%20Nov%202020%20sd%20Oct%202021/20%20Metering%2006.2022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21%20Metering%2007.2022.xlsx" TargetMode="External"/><Relationship Id="rId1" Type="http://schemas.openxmlformats.org/officeDocument/2006/relationships/externalLinkPath" Target="/Project/Supreme/2021/6307%20SEML/03%20Docs/01%20KWh%20Meter/Download%20KWh/Metering%20Nov%202020%20sd%20Oct%202021/21%20Metering%2007.2022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22%20Metering%2008.2022.xlsx" TargetMode="External"/><Relationship Id="rId1" Type="http://schemas.openxmlformats.org/officeDocument/2006/relationships/externalLinkPath" Target="/Project/Supreme/2021/6307%20SEML/03%20Docs/01%20KWh%20Meter/Download%20KWh/Metering%20Nov%202020%20sd%20Oct%202021/22%20Metering%2008.2022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23%20Metering%2009.2022.xlsx" TargetMode="External"/><Relationship Id="rId1" Type="http://schemas.openxmlformats.org/officeDocument/2006/relationships/externalLinkPath" Target="/Project/Supreme/2021/6307%20SEML/03%20Docs/01%20KWh%20Meter/Download%20KWh/Metering%20Nov%202020%20sd%20Oct%202021/23%20Metering%2009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24%20Metering%2010.2022.xlsx" TargetMode="External"/><Relationship Id="rId1" Type="http://schemas.openxmlformats.org/officeDocument/2006/relationships/externalLinkPath" Target="/Project/Supreme/2021/6307%20SEML/03%20Docs/01%20KWh%20Meter/Download%20KWh/Metering%20Nov%202020%20sd%20Oct%202021/24%20Metering%2010.2022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25%20Metering%2011.2022.xlsx" TargetMode="External"/><Relationship Id="rId1" Type="http://schemas.openxmlformats.org/officeDocument/2006/relationships/externalLinkPath" Target="/Project/Supreme/2021/6307%20SEML/03%20Docs/01%20KWh%20Meter/Download%20KWh/Metering%20Nov%202020%20sd%20Oct%202021/25%20Metering%2011.2022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Metering%20Nov%202020%20sd%20Oct%202021\26%20Metering%2012.2022.xlsx" TargetMode="External"/><Relationship Id="rId1" Type="http://schemas.openxmlformats.org/officeDocument/2006/relationships/externalLinkPath" Target="/Project/Supreme/2021/6307%20SEML/03%20Docs/01%20KWh%20Meter/Download%20KWh/Metering%20Nov%202020%20sd%20Oct%202021/26%20Metering%2012.2022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1%20KWh%20Meter\Download%20KWh\27%20January%202023.xlsx" TargetMode="External"/><Relationship Id="rId1" Type="http://schemas.openxmlformats.org/officeDocument/2006/relationships/externalLinkPath" Target="/Project/Supreme/2021/6307%20SEML/03%20Docs/01%20KWh%20Meter/Download%20KWh/27%20January%20202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2%20Steam%20Flow%20MEter/3-Realisasi%20Prod%20SEML%202020%20(EBTKE)(2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2%20Steam%20Flow%20MEter/Tabel%20Realisasi%20Produksi%20PT.%20SEML%20Periode%20October%202021%20(EBTKE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3%20Metering%2001.2021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2%20Steam%20Flow%20MEter\Steam\ML-OME-PRT-LRL-21-0012%20Realisasi%20Produksi%20PT.%20SEML%20Periode%20December%202021.xls" TargetMode="External"/><Relationship Id="rId1" Type="http://schemas.openxmlformats.org/officeDocument/2006/relationships/externalLinkPath" Target="/Project/Supreme/2021/6307%20SEML/03%20Docs/02%20Steam%20Flow%20MEter/Steam/ML-OME-PRT-LRL-21-0012%20Realisasi%20Produksi%20PT.%20SEML%20Periode%20December%202021.xls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01%20Supreme\2021\6307%20SEML\03%20Docs\02%20Steam%20Flow%20MEter\Steam\3-Realisasi%20Produksi%20PT.%20SEML%202022.xls" TargetMode="External"/><Relationship Id="rId1" Type="http://schemas.openxmlformats.org/officeDocument/2006/relationships/externalLinkPath" Target="/Project/01%20Supreme/2021/6307%20SEML/03%20Docs/02%20Steam%20Flow%20MEter/Steam/3-Realisasi%20Produksi%20PT.%20SEML%202022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\Supreme\2021\6307%20SEML\03%20Docs\02%20Steam%20Flow%20MEter\Steam\4-Realisasi%20Produksi%20PT.%20SEML%20Periode%20January%202023.xls" TargetMode="External"/><Relationship Id="rId1" Type="http://schemas.openxmlformats.org/officeDocument/2006/relationships/externalLinkPath" Target="/Project/Supreme/2021/6307%20SEML/03%20Docs/02%20Steam%20Flow%20MEter/Steam/4-Realisasi%20Produksi%20PT.%20SEML%20Periode%20January%2020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4%20Metering%2002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5%20Metering%2003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6%20Metering%2004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7%20Metering%2005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8%20Metering%2006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upreme/2021/6307%20SEML/03%20Docs/01%20KWh%20Meter/Download%20KWh/Metering%20Nov%202020%20sd%20Oct%202021/09%20Metering%2007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 1Energy Impor"/>
      <sheetName val="Lampiran 3.8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451">
          <cell r="C1451">
            <v>26956810.927631896</v>
          </cell>
          <cell r="E1451">
            <v>19210.123781999991</v>
          </cell>
        </row>
      </sheetData>
      <sheetData sheetId="3">
        <row r="1451">
          <cell r="C1451">
            <v>27244629.404275857</v>
          </cell>
          <cell r="E1451">
            <v>19450.804189999999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500">
          <cell r="C1500">
            <v>31172906.405000031</v>
          </cell>
          <cell r="E1500">
            <v>0</v>
          </cell>
        </row>
      </sheetData>
      <sheetData sheetId="3">
        <row r="1500">
          <cell r="C1500">
            <v>31509444.472000007</v>
          </cell>
          <cell r="E1500">
            <v>0</v>
          </cell>
        </row>
      </sheetData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452">
          <cell r="C1452">
            <v>27097095.079323906</v>
          </cell>
          <cell r="E1452">
            <v>0</v>
          </cell>
        </row>
      </sheetData>
      <sheetData sheetId="3">
        <row r="1452">
          <cell r="C1452">
            <v>32564057.754019886</v>
          </cell>
          <cell r="E1452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120">
          <cell r="C1120">
            <v>15361153.329630964</v>
          </cell>
          <cell r="E1120">
            <v>56089.173362000001</v>
          </cell>
        </row>
      </sheetData>
      <sheetData sheetId="3">
        <row r="1120">
          <cell r="C1120">
            <v>15406130.62478397</v>
          </cell>
          <cell r="E1120">
            <v>57712.15049499998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452">
          <cell r="C1452">
            <v>30277742.266046997</v>
          </cell>
          <cell r="E1452">
            <v>5920.4497840000004</v>
          </cell>
        </row>
      </sheetData>
      <sheetData sheetId="3">
        <row r="1452">
          <cell r="C1452">
            <v>29930251.672072999</v>
          </cell>
          <cell r="E1452">
            <v>6003.9340350000002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0">
          <cell r="C1500">
            <v>31936955.871999972</v>
          </cell>
          <cell r="E1500">
            <v>0</v>
          </cell>
        </row>
      </sheetData>
      <sheetData sheetId="3">
        <row r="1500">
          <cell r="C1500">
            <v>31555866.436000064</v>
          </cell>
          <cell r="E1500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0">
          <cell r="C1500">
            <v>30433109.297187991</v>
          </cell>
          <cell r="E1500">
            <v>0</v>
          </cell>
        </row>
      </sheetData>
      <sheetData sheetId="3">
        <row r="1500">
          <cell r="C1500">
            <v>30083325.009</v>
          </cell>
          <cell r="E1500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356">
          <cell r="C1356">
            <v>28212170.408000026</v>
          </cell>
          <cell r="E1356">
            <v>0</v>
          </cell>
        </row>
      </sheetData>
      <sheetData sheetId="3">
        <row r="1356">
          <cell r="C1356">
            <v>27883607.112000011</v>
          </cell>
          <cell r="E1356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0">
          <cell r="C1500">
            <v>23775642.720899973</v>
          </cell>
          <cell r="E1500">
            <v>0</v>
          </cell>
        </row>
      </sheetData>
      <sheetData sheetId="3">
        <row r="1500">
          <cell r="C1500">
            <v>40050371.315000094</v>
          </cell>
          <cell r="E1500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452">
          <cell r="C1452">
            <v>30825394.410842981</v>
          </cell>
          <cell r="E1452">
            <v>0.99449799999999999</v>
          </cell>
        </row>
      </sheetData>
      <sheetData sheetId="3">
        <row r="1452">
          <cell r="C1452">
            <v>30500437.406835996</v>
          </cell>
          <cell r="E1452">
            <v>28.661165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0">
          <cell r="C1500">
            <v>31344440.482999995</v>
          </cell>
          <cell r="E1500">
            <v>0</v>
          </cell>
        </row>
      </sheetData>
      <sheetData sheetId="3">
        <row r="1452">
          <cell r="E1452">
            <v>0</v>
          </cell>
        </row>
        <row r="1500">
          <cell r="C1500">
            <v>30997725.967000008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 1Energy Impor"/>
      <sheetName val="Lampiran 3.8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499">
          <cell r="C1499">
            <v>27503953.694800012</v>
          </cell>
          <cell r="E1499">
            <v>0</v>
          </cell>
        </row>
      </sheetData>
      <sheetData sheetId="3">
        <row r="1499">
          <cell r="C1499">
            <v>27799268.902500037</v>
          </cell>
          <cell r="E1499">
            <v>0</v>
          </cell>
        </row>
      </sheetData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452">
          <cell r="C1452">
            <v>29524618.557499994</v>
          </cell>
          <cell r="E1452">
            <v>0.82586300000000001</v>
          </cell>
        </row>
      </sheetData>
      <sheetData sheetId="3">
        <row r="1452">
          <cell r="C1452">
            <v>29191758.358100019</v>
          </cell>
          <cell r="E1452">
            <v>5.4235349999999993</v>
          </cell>
        </row>
      </sheetData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1">
          <cell r="C1501">
            <v>29739347.233891033</v>
          </cell>
          <cell r="E1501">
            <v>17460.204271999999</v>
          </cell>
        </row>
      </sheetData>
      <sheetData sheetId="3">
        <row r="1501">
          <cell r="C1501">
            <v>28684168.841921981</v>
          </cell>
          <cell r="E1501">
            <v>17632.488142000002</v>
          </cell>
        </row>
      </sheetData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1">
          <cell r="C1501">
            <v>31562058.515499994</v>
          </cell>
          <cell r="E1501">
            <v>3121.5711369999999</v>
          </cell>
        </row>
      </sheetData>
      <sheetData sheetId="3">
        <row r="1501">
          <cell r="C1501">
            <v>31205249.463599995</v>
          </cell>
          <cell r="E1501">
            <v>3089.4966440000003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1">
          <cell r="C1501">
            <v>30723864.323999994</v>
          </cell>
          <cell r="E1501">
            <v>0</v>
          </cell>
        </row>
      </sheetData>
      <sheetData sheetId="3">
        <row r="1501">
          <cell r="C1501">
            <v>30388280.926000018</v>
          </cell>
          <cell r="E1501">
            <v>0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277">
          <cell r="C1277">
            <v>31044282.427500028</v>
          </cell>
          <cell r="E1277">
            <v>0</v>
          </cell>
        </row>
      </sheetData>
      <sheetData sheetId="3">
        <row r="1277">
          <cell r="C1277">
            <v>30465153.174000021</v>
          </cell>
          <cell r="E1277">
            <v>0</v>
          </cell>
        </row>
      </sheetData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29">
          <cell r="C1529">
            <v>30348843.277199991</v>
          </cell>
          <cell r="E1529">
            <v>0</v>
          </cell>
        </row>
      </sheetData>
      <sheetData sheetId="3">
        <row r="1457">
          <cell r="C1457">
            <v>30006808.644199967</v>
          </cell>
          <cell r="E1457">
            <v>0</v>
          </cell>
        </row>
      </sheetData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/>
      <sheetData sheetId="1"/>
      <sheetData sheetId="2">
        <row r="1504">
          <cell r="C1504">
            <v>28628345.076999974</v>
          </cell>
          <cell r="E1504">
            <v>0</v>
          </cell>
        </row>
      </sheetData>
      <sheetData sheetId="3">
        <row r="1504">
          <cell r="C1504">
            <v>28307044.889999952</v>
          </cell>
          <cell r="E1504">
            <v>0</v>
          </cell>
        </row>
      </sheetData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nual_Reconciliation_2019"/>
      <sheetName val="Sheet1"/>
      <sheetName val="Sheet2"/>
      <sheetName val="Sheet3"/>
      <sheetName val="Jan"/>
      <sheetName val="Rekon 2023"/>
      <sheetName val="MU1"/>
      <sheetName val="MU2"/>
      <sheetName val="DA"/>
      <sheetName val="Data"/>
      <sheetName val="Monthl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00">
          <cell r="C1500">
            <v>31387614.937999919</v>
          </cell>
          <cell r="E1500">
            <v>0</v>
          </cell>
        </row>
      </sheetData>
      <sheetData sheetId="7">
        <row r="1501">
          <cell r="C1501">
            <v>31041505.745000012</v>
          </cell>
          <cell r="E1501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 2020"/>
      <sheetName val="KOB 2017"/>
      <sheetName val="Sheet1"/>
      <sheetName val="Sheet2"/>
      <sheetName val="sol"/>
      <sheetName val="Grafik (2)"/>
      <sheetName val="outage"/>
      <sheetName val="dropdownlist"/>
    </sheetNames>
    <sheetDataSet>
      <sheetData sheetId="0" refreshError="1">
        <row r="20">
          <cell r="D20">
            <v>351525.13650000008</v>
          </cell>
        </row>
        <row r="21">
          <cell r="D21">
            <v>356635.60200000001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 2021"/>
      <sheetName val="Plant Availability Data"/>
      <sheetName val="KOB 2017"/>
      <sheetName val="Sheet1"/>
      <sheetName val="Sheet2"/>
      <sheetName val="sol"/>
      <sheetName val="Grafik (2)"/>
      <sheetName val="outage"/>
      <sheetName val="dropdownlist"/>
    </sheetNames>
    <sheetDataSet>
      <sheetData sheetId="0" refreshError="1">
        <row r="10">
          <cell r="D10">
            <v>393209.96400000004</v>
          </cell>
        </row>
        <row r="11">
          <cell r="D11">
            <v>357240.04379999993</v>
          </cell>
        </row>
        <row r="12">
          <cell r="D12">
            <v>407332.62450000003</v>
          </cell>
        </row>
        <row r="13">
          <cell r="D13">
            <v>383403.61260000005</v>
          </cell>
        </row>
        <row r="14">
          <cell r="D14">
            <v>401064.75624000008</v>
          </cell>
        </row>
        <row r="15">
          <cell r="D15">
            <v>390361.18859999999</v>
          </cell>
        </row>
        <row r="16">
          <cell r="D16">
            <v>401542.50960000005</v>
          </cell>
        </row>
        <row r="17">
          <cell r="D17">
            <v>403055.85599999997</v>
          </cell>
        </row>
        <row r="18">
          <cell r="D18">
            <v>388370.15549999999</v>
          </cell>
        </row>
        <row r="19">
          <cell r="D19">
            <v>210943.69110722313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 1Energy Impor"/>
      <sheetName val="Lampiran 3.8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499">
          <cell r="C1499">
            <v>30574869.132465884</v>
          </cell>
          <cell r="E1499">
            <v>6699.4713030000003</v>
          </cell>
        </row>
      </sheetData>
      <sheetData sheetId="3">
        <row r="1499">
          <cell r="C1499">
            <v>30924429.229306873</v>
          </cell>
          <cell r="E1499">
            <v>7002.9967699999997</v>
          </cell>
        </row>
      </sheetData>
      <sheetData sheetId="4" refreshError="1"/>
      <sheetData sheetId="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L 2021"/>
      <sheetName val="Plant Availability Data"/>
      <sheetName val="KOB 2017"/>
      <sheetName val="Sheet1"/>
      <sheetName val="Sheet2"/>
      <sheetName val="sol"/>
      <sheetName val="Grafik (2)"/>
      <sheetName val="outage"/>
      <sheetName val="dropdownlist"/>
    </sheetNames>
    <sheetDataSet>
      <sheetData sheetId="0" refreshError="1">
        <row r="20">
          <cell r="D20">
            <v>387385.99110000004</v>
          </cell>
        </row>
        <row r="21">
          <cell r="D21">
            <v>409499.7935936171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L 2022"/>
      <sheetName val="Plant Availability Data"/>
      <sheetName val="KOB 2017"/>
      <sheetName val="Sheet1"/>
      <sheetName val="Sheet2"/>
      <sheetName val="sol"/>
      <sheetName val="Grafik (2)"/>
      <sheetName val="outage"/>
      <sheetName val="dropdownlist"/>
    </sheetNames>
    <sheetDataSet>
      <sheetData sheetId="0">
        <row r="10">
          <cell r="J10">
            <v>392168.77609787235</v>
          </cell>
        </row>
        <row r="11">
          <cell r="J11">
            <v>363103.01999999996</v>
          </cell>
        </row>
        <row r="12">
          <cell r="J12">
            <v>411258.2</v>
          </cell>
        </row>
        <row r="13">
          <cell r="J13">
            <v>396370.8506680851</v>
          </cell>
        </row>
        <row r="14">
          <cell r="J14">
            <v>404358.58064680861</v>
          </cell>
        </row>
        <row r="15">
          <cell r="J15">
            <v>384367.86015319155</v>
          </cell>
        </row>
        <row r="16">
          <cell r="J16">
            <v>394750.21</v>
          </cell>
        </row>
        <row r="17">
          <cell r="J17">
            <v>408301.13909726456</v>
          </cell>
        </row>
        <row r="18">
          <cell r="J18">
            <v>397504.62</v>
          </cell>
        </row>
        <row r="19">
          <cell r="J19">
            <v>400118.04903829796</v>
          </cell>
        </row>
        <row r="20">
          <cell r="J20">
            <v>392732</v>
          </cell>
        </row>
        <row r="21">
          <cell r="J21">
            <v>373800.55522978725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L 2023"/>
      <sheetName val="Plant Availability Data"/>
      <sheetName val="Sheet3"/>
      <sheetName val="KOB 2017"/>
      <sheetName val="Sheet1"/>
      <sheetName val="Sheet2"/>
      <sheetName val="sol"/>
      <sheetName val="Grafik (2)"/>
      <sheetName val="outage"/>
      <sheetName val="dropdownlist"/>
    </sheetNames>
    <sheetDataSet>
      <sheetData sheetId="0" refreshError="1">
        <row r="10">
          <cell r="D10">
            <v>403953.67669139995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 1Energy Impor"/>
      <sheetName val="Lampiran 3.8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355">
          <cell r="C1355">
            <v>27807951.806000002</v>
          </cell>
          <cell r="E1355">
            <v>23165.980461000003</v>
          </cell>
        </row>
      </sheetData>
      <sheetData sheetId="3">
        <row r="1355">
          <cell r="C1355">
            <v>28121922.857499965</v>
          </cell>
          <cell r="E1355">
            <v>23505.947472999993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 1Energy Impor"/>
      <sheetName val="Lampiran 3.8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499">
          <cell r="C1499">
            <v>31396784.126300003</v>
          </cell>
          <cell r="E1499">
            <v>0</v>
          </cell>
        </row>
      </sheetData>
      <sheetData sheetId="3">
        <row r="1500">
          <cell r="C1500">
            <v>32130352.481000006</v>
          </cell>
          <cell r="E1500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452">
          <cell r="C1452">
            <v>29508733.68</v>
          </cell>
          <cell r="E1452">
            <v>0</v>
          </cell>
        </row>
      </sheetData>
      <sheetData sheetId="3">
        <row r="1452">
          <cell r="C1452">
            <v>29858579.327999983</v>
          </cell>
          <cell r="E1452">
            <v>0</v>
          </cell>
        </row>
      </sheetData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500">
          <cell r="C1500">
            <v>30898601.903213851</v>
          </cell>
          <cell r="E1500">
            <v>6328.8372010000003</v>
          </cell>
        </row>
      </sheetData>
      <sheetData sheetId="3">
        <row r="1500">
          <cell r="C1500">
            <v>31274837.914008927</v>
          </cell>
          <cell r="E1500">
            <v>6420.1778339999992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452">
          <cell r="C1452">
            <v>30277443.804700069</v>
          </cell>
          <cell r="E1452">
            <v>0</v>
          </cell>
        </row>
      </sheetData>
      <sheetData sheetId="3">
        <row r="1452">
          <cell r="C1452">
            <v>30419851.008599967</v>
          </cell>
          <cell r="E1452">
            <v>0</v>
          </cell>
        </row>
      </sheetData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1 Import"/>
      <sheetName val="BA1 Eksport"/>
      <sheetName val="Lampiran 3.1a MU 1"/>
      <sheetName val="Lampiran 3.1a MU 2 "/>
      <sheetName val="Lampiran 3.1a MP 1"/>
      <sheetName val="Lampiran 3.1a MP 2"/>
    </sheetNames>
    <sheetDataSet>
      <sheetData sheetId="0" refreshError="1"/>
      <sheetData sheetId="1" refreshError="1"/>
      <sheetData sheetId="2">
        <row r="1500">
          <cell r="C1500">
            <v>31451739.953999989</v>
          </cell>
          <cell r="E1500">
            <v>0</v>
          </cell>
        </row>
      </sheetData>
      <sheetData sheetId="3">
        <row r="1500">
          <cell r="C1500">
            <v>31803090.546999998</v>
          </cell>
          <cell r="E1500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="70" zoomScaleNormal="70" workbookViewId="0">
      <selection activeCell="G3" sqref="G3"/>
    </sheetView>
  </sheetViews>
  <sheetFormatPr defaultRowHeight="14.5"/>
  <cols>
    <col min="1" max="1" width="22.81640625" customWidth="1"/>
    <col min="2" max="2" width="21.26953125" customWidth="1"/>
    <col min="3" max="3" width="19.26953125" customWidth="1"/>
    <col min="4" max="4" width="15.54296875" customWidth="1"/>
    <col min="5" max="5" width="13" customWidth="1"/>
    <col min="6" max="6" width="12.453125" customWidth="1"/>
  </cols>
  <sheetData>
    <row r="1" spans="1:6" ht="15.5">
      <c r="A1" s="146" t="s">
        <v>0</v>
      </c>
      <c r="B1" s="146"/>
      <c r="C1" s="146"/>
      <c r="D1" s="146"/>
    </row>
    <row r="2" spans="1:6" ht="15.5">
      <c r="A2" s="146">
        <v>6307</v>
      </c>
      <c r="B2" s="146"/>
      <c r="C2" s="146"/>
      <c r="D2" s="146"/>
    </row>
    <row r="3" spans="1:6" ht="15.5">
      <c r="A3" s="146" t="s">
        <v>86</v>
      </c>
      <c r="B3" s="146"/>
      <c r="C3" s="146"/>
      <c r="D3" s="146"/>
      <c r="E3" s="30"/>
      <c r="F3" s="30"/>
    </row>
    <row r="4" spans="1:6">
      <c r="A4" s="1"/>
      <c r="B4" s="9" t="s">
        <v>11</v>
      </c>
      <c r="C4" s="1">
        <v>0.74299999999999999</v>
      </c>
      <c r="D4" s="1" t="s">
        <v>41</v>
      </c>
    </row>
    <row r="5" spans="1:6">
      <c r="A5" s="147" t="s">
        <v>1</v>
      </c>
      <c r="B5" s="5" t="s">
        <v>9</v>
      </c>
      <c r="C5" s="5" t="s">
        <v>10</v>
      </c>
      <c r="D5" s="150" t="s">
        <v>55</v>
      </c>
      <c r="E5" s="151"/>
    </row>
    <row r="6" spans="1:6">
      <c r="A6" s="148"/>
      <c r="B6" s="6" t="s">
        <v>40</v>
      </c>
      <c r="C6" s="6" t="s">
        <v>40</v>
      </c>
      <c r="D6" s="152"/>
      <c r="E6" s="153"/>
    </row>
    <row r="7" spans="1:6">
      <c r="A7" s="149"/>
      <c r="B7" s="6">
        <v>1</v>
      </c>
      <c r="C7" s="6">
        <v>2</v>
      </c>
      <c r="D7" s="6" t="s">
        <v>56</v>
      </c>
      <c r="E7" s="43" t="s">
        <v>54</v>
      </c>
    </row>
    <row r="8" spans="1:6">
      <c r="A8" s="47" t="s">
        <v>58</v>
      </c>
      <c r="B8" s="41">
        <f>'1 Electricity Generation'!I9*'0 Emission Reduction'!$C$4</f>
        <v>40242.938109999996</v>
      </c>
      <c r="C8" s="41">
        <f>'2a NCG'!E20+'2b Diesel'!C14</f>
        <v>1608.1549481574737</v>
      </c>
      <c r="D8" s="41">
        <f>B8-C8</f>
        <v>38634.783161842519</v>
      </c>
      <c r="E8" s="44">
        <f>ROUNDDOWN(D8,0)</f>
        <v>38634</v>
      </c>
    </row>
    <row r="9" spans="1:6">
      <c r="A9" s="15" t="s">
        <v>59</v>
      </c>
      <c r="B9" s="41">
        <f>'1 Electricity Generation'!I10*'0 Emission Reduction'!$C$4</f>
        <v>41090.292459999997</v>
      </c>
      <c r="C9" s="41">
        <f>'2a NCG'!E21+'2b Diesel'!C15</f>
        <v>1631.5905836782683</v>
      </c>
      <c r="D9" s="41">
        <f>B9-C9</f>
        <v>39458.701876321727</v>
      </c>
      <c r="E9" s="44">
        <f>ROUNDDOWN(D9,0)</f>
        <v>39458</v>
      </c>
      <c r="F9" s="109"/>
    </row>
    <row r="10" spans="1:6">
      <c r="A10" s="15" t="s">
        <v>60</v>
      </c>
      <c r="B10" s="41">
        <f>'1 Electricity Generation'!I11*'0 Emission Reduction'!$C$4</f>
        <v>45683.793369999999</v>
      </c>
      <c r="C10" s="41">
        <f>'2a NCG'!E22+'2b Diesel'!C16</f>
        <v>1799.8740949959224</v>
      </c>
      <c r="D10" s="41">
        <f t="shared" ref="D10:D33" si="0">B10-C10</f>
        <v>43883.919275004075</v>
      </c>
      <c r="E10" s="44">
        <f t="shared" ref="E10:E34" si="1">ROUNDDOWN(D10,0)</f>
        <v>43883</v>
      </c>
    </row>
    <row r="11" spans="1:6">
      <c r="A11" s="15" t="s">
        <v>61</v>
      </c>
      <c r="B11" s="41">
        <f>'1 Electricity Generation'!I12*'0 Emission Reduction'!$C$4</f>
        <v>41521.217599999996</v>
      </c>
      <c r="C11" s="41">
        <f>'2a NCG'!E23+'2b Diesel'!C17</f>
        <v>1536.2603032271018</v>
      </c>
      <c r="D11" s="41">
        <f t="shared" si="0"/>
        <v>39984.957296772896</v>
      </c>
      <c r="E11" s="44">
        <f t="shared" si="1"/>
        <v>39984</v>
      </c>
    </row>
    <row r="12" spans="1:6">
      <c r="A12" s="15" t="s">
        <v>62</v>
      </c>
      <c r="B12" s="41">
        <f>'1 Electricity Generation'!I13*'0 Emission Reduction'!$C$4</f>
        <v>47200.657589999995</v>
      </c>
      <c r="C12" s="41">
        <f>'2a NCG'!E24+'2b Diesel'!C18</f>
        <v>1751.6666552088363</v>
      </c>
      <c r="D12" s="41">
        <f t="shared" si="0"/>
        <v>45448.99093479116</v>
      </c>
      <c r="E12" s="44">
        <f t="shared" si="1"/>
        <v>45448</v>
      </c>
    </row>
    <row r="13" spans="1:6">
      <c r="A13" s="15" t="s">
        <v>63</v>
      </c>
      <c r="B13" s="41">
        <f>'1 Electricity Generation'!I14*'0 Emission Reduction'!$C$4</f>
        <v>44109.911329999995</v>
      </c>
      <c r="C13" s="41">
        <f>'2a NCG'!E25+'2b Diesel'!C19</f>
        <v>1648.7355677161349</v>
      </c>
      <c r="D13" s="41">
        <f t="shared" si="0"/>
        <v>42461.175762283863</v>
      </c>
      <c r="E13" s="44">
        <f t="shared" si="1"/>
        <v>42461</v>
      </c>
    </row>
    <row r="14" spans="1:6">
      <c r="A14" s="15" t="s">
        <v>70</v>
      </c>
      <c r="B14" s="41">
        <f>'1 Electricity Generation'!I15*'0 Emission Reduction'!$C$4</f>
        <v>46185.392670000001</v>
      </c>
      <c r="C14" s="41">
        <f>'2a NCG'!E26+'2b Diesel'!C20</f>
        <v>1898.9774134451434</v>
      </c>
      <c r="D14" s="41">
        <f t="shared" si="0"/>
        <v>44286.415256554857</v>
      </c>
      <c r="E14" s="44">
        <f t="shared" si="1"/>
        <v>44286</v>
      </c>
    </row>
    <row r="15" spans="1:6">
      <c r="A15" s="15" t="s">
        <v>65</v>
      </c>
      <c r="B15" s="41">
        <f>'1 Electricity Generation'!I16*'0 Emission Reduction'!$C$4</f>
        <v>45098.086470000002</v>
      </c>
      <c r="C15" s="41">
        <f>'2a NCG'!E27+'2b Diesel'!C21</f>
        <v>1847.9284226433742</v>
      </c>
      <c r="D15" s="41">
        <f t="shared" si="0"/>
        <v>43250.158047356628</v>
      </c>
      <c r="E15" s="44">
        <f t="shared" si="1"/>
        <v>43250</v>
      </c>
    </row>
    <row r="16" spans="1:6">
      <c r="A16" s="15" t="s">
        <v>66</v>
      </c>
      <c r="B16" s="41">
        <f>'1 Electricity Generation'!I17*'0 Emission Reduction'!$C$4</f>
        <v>46998.338690000004</v>
      </c>
      <c r="C16" s="41">
        <f>'2a NCG'!E28+'2b Diesel'!C22</f>
        <v>1900.8481045041713</v>
      </c>
      <c r="D16" s="41">
        <f t="shared" si="0"/>
        <v>45097.490585495834</v>
      </c>
      <c r="E16" s="44">
        <f t="shared" si="1"/>
        <v>45097</v>
      </c>
    </row>
    <row r="17" spans="1:6">
      <c r="A17" s="15" t="s">
        <v>67</v>
      </c>
      <c r="B17" s="41">
        <f>'1 Electricity Generation'!I18*'0 Emission Reduction'!$C$4</f>
        <v>46572.98605</v>
      </c>
      <c r="C17" s="41">
        <f>'2a NCG'!E29+'2b Diesel'!C23</f>
        <v>1585.0363026786144</v>
      </c>
      <c r="D17" s="41">
        <f t="shared" si="0"/>
        <v>44987.949747321385</v>
      </c>
      <c r="E17" s="44">
        <f t="shared" si="1"/>
        <v>44987</v>
      </c>
    </row>
    <row r="18" spans="1:6">
      <c r="A18" s="15" t="s">
        <v>68</v>
      </c>
      <c r="B18" s="41">
        <f>'1 Electricity Generation'!I19*'0 Emission Reduction'!$C$4</f>
        <v>44283.907070000001</v>
      </c>
      <c r="C18" s="41">
        <f>'2a NCG'!E30+'2b Diesel'!C24</f>
        <v>1527.252347076771</v>
      </c>
      <c r="D18" s="41">
        <f t="shared" si="0"/>
        <v>42756.654722923231</v>
      </c>
      <c r="E18" s="44">
        <f t="shared" si="1"/>
        <v>42756</v>
      </c>
    </row>
    <row r="19" spans="1:6">
      <c r="A19" s="15" t="s">
        <v>69</v>
      </c>
      <c r="B19" s="41">
        <f>'1 Electricity Generation'!I20*'0 Emission Reduction'!$C$4</f>
        <v>22752.591799999998</v>
      </c>
      <c r="C19" s="41">
        <f>'2a NCG'!E31+'2b Diesel'!C25</f>
        <v>872.05116059918726</v>
      </c>
      <c r="D19" s="41">
        <f t="shared" si="0"/>
        <v>21880.54063940081</v>
      </c>
      <c r="E19" s="44">
        <f t="shared" si="1"/>
        <v>21880</v>
      </c>
    </row>
    <row r="20" spans="1:6">
      <c r="A20" s="47" t="s">
        <v>71</v>
      </c>
      <c r="B20" s="41">
        <f>'1 Electricity Generation'!I21*'0 Emission Reduction'!$C$4</f>
        <v>44725.672579999999</v>
      </c>
      <c r="C20" s="41">
        <f>'2a NCG'!E32+'2b Diesel'!C26</f>
        <v>1523.3953516854344</v>
      </c>
      <c r="D20" s="41">
        <f t="shared" si="0"/>
        <v>43202.27722831456</v>
      </c>
      <c r="E20" s="44">
        <f t="shared" si="1"/>
        <v>43202</v>
      </c>
    </row>
    <row r="21" spans="1:6">
      <c r="A21" s="15" t="s">
        <v>72</v>
      </c>
      <c r="B21" s="41">
        <f>'1 Electricity Generation'!I22*'0 Emission Reduction'!$C$4</f>
        <v>47175.165260000002</v>
      </c>
      <c r="C21" s="41">
        <f>'2a NCG'!E33+'2b Diesel'!C27</f>
        <v>1687.6113920760049</v>
      </c>
      <c r="D21" s="41">
        <f t="shared" si="0"/>
        <v>45487.553867923998</v>
      </c>
      <c r="E21" s="44">
        <f t="shared" si="1"/>
        <v>45487</v>
      </c>
      <c r="F21" s="109"/>
    </row>
    <row r="22" spans="1:6">
      <c r="A22" s="15" t="s">
        <v>73</v>
      </c>
      <c r="B22" s="41">
        <f>'1 Electricity Generation'!I23*'0 Emission Reduction'!$C$4</f>
        <v>44963.707490000001</v>
      </c>
      <c r="C22" s="41">
        <f>'2a NCG'!E34+'2b Diesel'!C28</f>
        <v>1616.208391113405</v>
      </c>
      <c r="D22" s="41">
        <f t="shared" si="0"/>
        <v>43347.499098886597</v>
      </c>
      <c r="E22" s="44">
        <f t="shared" si="1"/>
        <v>43347</v>
      </c>
    </row>
    <row r="23" spans="1:6">
      <c r="A23" s="15" t="s">
        <v>74</v>
      </c>
      <c r="B23" s="41">
        <f>'1 Electricity Generation'!I24*'0 Emission Reduction'!$C$4</f>
        <v>41679.15711</v>
      </c>
      <c r="C23" s="41">
        <f>'2a NCG'!E35+'2b Diesel'!C29</f>
        <v>1496.4142004128707</v>
      </c>
      <c r="D23" s="41">
        <f t="shared" si="0"/>
        <v>40182.742909587127</v>
      </c>
      <c r="E23" s="44">
        <f t="shared" si="1"/>
        <v>40182</v>
      </c>
    </row>
    <row r="24" spans="1:6">
      <c r="A24" s="15" t="s">
        <v>75</v>
      </c>
      <c r="B24" s="41">
        <f>'1 Electricity Generation'!I25*'0 Emission Reduction'!$C$4</f>
        <v>47422.725429999999</v>
      </c>
      <c r="C24" s="41">
        <f>'2a NCG'!E36+'2b Diesel'!C30</f>
        <v>1540.1539408128215</v>
      </c>
      <c r="D24" s="41">
        <f t="shared" si="0"/>
        <v>45882.571489187176</v>
      </c>
      <c r="E24" s="44">
        <f t="shared" si="1"/>
        <v>45882</v>
      </c>
    </row>
    <row r="25" spans="1:6">
      <c r="A25" s="15" t="s">
        <v>76</v>
      </c>
      <c r="B25" s="41">
        <f>'1 Electricity Generation'!I26*'0 Emission Reduction'!$C$4</f>
        <v>45565.0694</v>
      </c>
      <c r="C25" s="41">
        <f>'2a NCG'!E37+'2b Diesel'!C31</f>
        <v>1484.6190389783542</v>
      </c>
      <c r="D25" s="41">
        <f t="shared" si="0"/>
        <v>44080.450361021649</v>
      </c>
      <c r="E25" s="44">
        <f t="shared" si="1"/>
        <v>44080</v>
      </c>
    </row>
    <row r="26" spans="1:6">
      <c r="A26" s="15" t="s">
        <v>77</v>
      </c>
      <c r="B26" s="41">
        <f>'1 Electricity Generation'!I27*'0 Emission Reduction'!$C$4</f>
        <v>46320.224880000002</v>
      </c>
      <c r="C26" s="41">
        <f>'2a NCG'!E38+'2b Diesel'!C32</f>
        <v>1591.0061477043698</v>
      </c>
      <c r="D26" s="41">
        <f t="shared" si="0"/>
        <v>44729.218732295631</v>
      </c>
      <c r="E26" s="44">
        <f t="shared" si="1"/>
        <v>44729</v>
      </c>
    </row>
    <row r="27" spans="1:6">
      <c r="A27" s="15" t="s">
        <v>78</v>
      </c>
      <c r="B27" s="41">
        <f>'1 Electricity Generation'!I28*'0 Emission Reduction'!$C$4</f>
        <v>43626.262910000005</v>
      </c>
      <c r="C27" s="41">
        <f>'2a NCG'!E39+'2b Diesel'!C33</f>
        <v>1512.2029928825841</v>
      </c>
      <c r="D27" s="41">
        <f t="shared" si="0"/>
        <v>42114.059917117418</v>
      </c>
      <c r="E27" s="44">
        <f t="shared" si="1"/>
        <v>42114</v>
      </c>
    </row>
    <row r="28" spans="1:6">
      <c r="A28" s="15" t="s">
        <v>79</v>
      </c>
      <c r="B28" s="41">
        <f>'1 Electricity Generation'!I29*'0 Emission Reduction'!$C$4</f>
        <v>43382.596059999996</v>
      </c>
      <c r="C28" s="41">
        <f>'2a NCG'!E40+'2b Diesel'!C34</f>
        <v>1554.721232895602</v>
      </c>
      <c r="D28" s="41">
        <f t="shared" si="0"/>
        <v>41827.874827104395</v>
      </c>
      <c r="E28" s="44">
        <f t="shared" si="1"/>
        <v>41827</v>
      </c>
    </row>
    <row r="29" spans="1:6">
      <c r="A29" s="15" t="s">
        <v>80</v>
      </c>
      <c r="B29" s="41">
        <f>'1 Electricity Generation'!I30*'0 Emission Reduction'!$C$4</f>
        <v>46631.489869999998</v>
      </c>
      <c r="C29" s="41">
        <f>'2a NCG'!E41+'2b Diesel'!C35</f>
        <v>1570.4120162711463</v>
      </c>
      <c r="D29" s="41">
        <f t="shared" si="0"/>
        <v>45061.07785372885</v>
      </c>
      <c r="E29" s="44">
        <f t="shared" si="1"/>
        <v>45061</v>
      </c>
    </row>
    <row r="30" spans="1:6">
      <c r="A30" s="15" t="s">
        <v>81</v>
      </c>
      <c r="B30" s="41">
        <f>'1 Electricity Generation'!I31*'0 Emission Reduction'!$C$4</f>
        <v>45406.320019999999</v>
      </c>
      <c r="C30" s="41">
        <f>'2a NCG'!E42+'2b Diesel'!C36</f>
        <v>1528.9284422919088</v>
      </c>
      <c r="D30" s="41">
        <f t="shared" si="0"/>
        <v>43877.391577708091</v>
      </c>
      <c r="E30" s="44">
        <f t="shared" si="1"/>
        <v>43877</v>
      </c>
    </row>
    <row r="31" spans="1:6">
      <c r="A31" s="15" t="s">
        <v>82</v>
      </c>
      <c r="B31" s="41">
        <f>'1 Electricity Generation'!I32*'0 Emission Reduction'!$C$4</f>
        <v>45701.50649</v>
      </c>
      <c r="C31" s="41">
        <f>'2a NCG'!E43+'2b Diesel'!C37</f>
        <v>1538.895907752812</v>
      </c>
      <c r="D31" s="41">
        <f t="shared" si="0"/>
        <v>44162.610582247187</v>
      </c>
      <c r="E31" s="44">
        <f t="shared" si="1"/>
        <v>44162</v>
      </c>
    </row>
    <row r="32" spans="1:6">
      <c r="A32" s="47" t="s">
        <v>83</v>
      </c>
      <c r="B32" s="41">
        <f>'1 Electricity Generation'!I33*'0 Emission Reduction'!$C$4</f>
        <v>44844.247949999997</v>
      </c>
      <c r="C32" s="41">
        <f>'2a NCG'!E44+'2b Diesel'!C38</f>
        <v>1574.6663569165451</v>
      </c>
      <c r="D32" s="41">
        <f t="shared" si="0"/>
        <v>43269.581593083451</v>
      </c>
      <c r="E32" s="44">
        <f t="shared" si="1"/>
        <v>43269</v>
      </c>
    </row>
    <row r="33" spans="1:6">
      <c r="A33" s="15" t="s">
        <v>84</v>
      </c>
      <c r="B33" s="41">
        <f>'1 Electricity Generation'!I34*'0 Emission Reduction'!$C$4</f>
        <v>42302.98734</v>
      </c>
      <c r="C33" s="41">
        <f>'2a NCG'!E45+'2b Diesel'!C39</f>
        <v>1498.8208462731861</v>
      </c>
      <c r="D33" s="41">
        <f t="shared" si="0"/>
        <v>40804.166493726814</v>
      </c>
      <c r="E33" s="44">
        <f t="shared" si="1"/>
        <v>40804</v>
      </c>
      <c r="F33" s="109"/>
    </row>
    <row r="34" spans="1:6">
      <c r="A34" s="15" t="s">
        <v>85</v>
      </c>
      <c r="B34" s="41">
        <f>'1 Electricity Generation'!I35*'0 Emission Reduction'!$C$4</f>
        <v>46384.836159999999</v>
      </c>
      <c r="C34" s="41">
        <f>'2a NCG'!E46+'2b Diesel'!C40</f>
        <v>1619.6953948030848</v>
      </c>
      <c r="D34" s="41">
        <f>B34-C34</f>
        <v>44765.140765196913</v>
      </c>
      <c r="E34" s="44">
        <f t="shared" si="1"/>
        <v>44765</v>
      </c>
    </row>
    <row r="35" spans="1:6">
      <c r="A35" s="7" t="s">
        <v>8</v>
      </c>
      <c r="B35" s="45">
        <f>SUM(B8:B34)</f>
        <v>1187872.08216</v>
      </c>
      <c r="C35" s="45">
        <f>SUM(C8:C34)</f>
        <v>42946.127556801133</v>
      </c>
      <c r="D35" s="45">
        <f>SUM(D8:D34)</f>
        <v>1144925.9546031991</v>
      </c>
      <c r="E35" s="44">
        <f>SUM(E8:E34)</f>
        <v>1144912</v>
      </c>
    </row>
  </sheetData>
  <mergeCells count="5">
    <mergeCell ref="A1:D1"/>
    <mergeCell ref="A2:D2"/>
    <mergeCell ref="A3:D3"/>
    <mergeCell ref="A5:A7"/>
    <mergeCell ref="D5:E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opLeftCell="A19" zoomScale="80" zoomScaleNormal="80" workbookViewId="0">
      <selection activeCell="H5" sqref="H5:I5"/>
    </sheetView>
  </sheetViews>
  <sheetFormatPr defaultRowHeight="14.5"/>
  <cols>
    <col min="1" max="1" width="21.81640625" customWidth="1"/>
    <col min="2" max="2" width="15.36328125" customWidth="1"/>
    <col min="3" max="3" width="12.90625" customWidth="1"/>
    <col min="4" max="4" width="15.08984375" customWidth="1"/>
    <col min="5" max="5" width="11.1796875" customWidth="1"/>
    <col min="6" max="6" width="10.90625" customWidth="1"/>
    <col min="7" max="7" width="10.453125" customWidth="1"/>
    <col min="8" max="8" width="11.6328125" customWidth="1"/>
    <col min="9" max="9" width="11.90625" customWidth="1"/>
  </cols>
  <sheetData>
    <row r="1" spans="1:10" ht="15.5">
      <c r="A1" s="146" t="s">
        <v>0</v>
      </c>
      <c r="B1" s="146"/>
      <c r="C1" s="146"/>
      <c r="D1" s="146"/>
      <c r="E1" s="146"/>
      <c r="F1" s="146"/>
      <c r="G1" s="146"/>
      <c r="H1" s="146"/>
    </row>
    <row r="2" spans="1:10" ht="15.5">
      <c r="A2" s="146">
        <v>6307</v>
      </c>
      <c r="B2" s="146"/>
      <c r="C2" s="146"/>
      <c r="D2" s="146"/>
      <c r="E2" s="146"/>
      <c r="F2" s="146"/>
      <c r="G2" s="146"/>
      <c r="H2" s="146"/>
    </row>
    <row r="3" spans="1:10" ht="15.5">
      <c r="A3" s="146" t="s">
        <v>87</v>
      </c>
      <c r="B3" s="146"/>
      <c r="C3" s="146"/>
      <c r="D3" s="146"/>
      <c r="E3" s="146"/>
      <c r="F3" s="146"/>
      <c r="G3" s="146"/>
      <c r="H3" s="146"/>
    </row>
    <row r="5" spans="1:10" ht="15" customHeight="1">
      <c r="A5" s="158" t="s">
        <v>1</v>
      </c>
      <c r="B5" s="154" t="s">
        <v>4</v>
      </c>
      <c r="C5" s="163"/>
      <c r="D5" s="155"/>
      <c r="E5" s="154" t="s">
        <v>5</v>
      </c>
      <c r="F5" s="163"/>
      <c r="G5" s="155"/>
      <c r="H5" s="154" t="s">
        <v>2</v>
      </c>
      <c r="I5" s="155"/>
    </row>
    <row r="6" spans="1:10">
      <c r="A6" s="159"/>
      <c r="B6" s="164" t="s">
        <v>7</v>
      </c>
      <c r="C6" s="165"/>
      <c r="D6" s="147" t="s">
        <v>6</v>
      </c>
      <c r="E6" s="164" t="s">
        <v>7</v>
      </c>
      <c r="F6" s="165"/>
      <c r="G6" s="147" t="s">
        <v>6</v>
      </c>
      <c r="H6" s="156" t="s">
        <v>3</v>
      </c>
      <c r="I6" s="157"/>
    </row>
    <row r="7" spans="1:10">
      <c r="A7" s="159"/>
      <c r="B7" s="52"/>
      <c r="C7" s="53">
        <v>1E-3</v>
      </c>
      <c r="D7" s="149"/>
      <c r="E7" s="54"/>
      <c r="F7" s="51">
        <v>1E-3</v>
      </c>
      <c r="G7" s="149"/>
      <c r="H7" s="147" t="s">
        <v>57</v>
      </c>
      <c r="I7" s="161" t="s">
        <v>53</v>
      </c>
    </row>
    <row r="8" spans="1:10">
      <c r="A8" s="160"/>
      <c r="B8" s="164">
        <v>1</v>
      </c>
      <c r="C8" s="165"/>
      <c r="D8" s="6">
        <v>2</v>
      </c>
      <c r="E8" s="164">
        <v>3</v>
      </c>
      <c r="F8" s="165"/>
      <c r="G8" s="6">
        <v>4</v>
      </c>
      <c r="H8" s="149"/>
      <c r="I8" s="162"/>
    </row>
    <row r="9" spans="1:10" s="36" customFormat="1">
      <c r="A9" s="47" t="s">
        <v>58</v>
      </c>
      <c r="B9" s="80">
        <f>'[1]Lampiran 3.1a MU 1'!$C$1451+'[1]Lampiran 3.1a MU 2 '!$C$1451</f>
        <v>54201440.331907749</v>
      </c>
      <c r="C9" s="77"/>
      <c r="D9" s="57">
        <v>54201440.329999998</v>
      </c>
      <c r="E9" s="56">
        <f>'[1]Lampiran 3.1a MU 1'!$E$1451+'[1]Lampiran 3.1a MU 2 '!$E$1451</f>
        <v>38660.92797199999</v>
      </c>
      <c r="F9" s="77"/>
      <c r="G9" s="58">
        <v>38660.93</v>
      </c>
      <c r="H9" s="58">
        <f t="shared" ref="H9:H18" si="0">(B9-E9)/1000</f>
        <v>54162.779403935754</v>
      </c>
      <c r="I9" s="42">
        <f>ROUNDDOWN(H9,2)</f>
        <v>54162.77</v>
      </c>
    </row>
    <row r="10" spans="1:10">
      <c r="A10" s="15" t="s">
        <v>59</v>
      </c>
      <c r="B10" s="57">
        <f>'[2]Lampiran 3.1a MU 1'!$C$1499+'[2]Lampiran 3.1a MU 2 '!$C$1499</f>
        <v>55303222.597300053</v>
      </c>
      <c r="C10" s="58"/>
      <c r="D10" s="58">
        <v>55303222.600000001</v>
      </c>
      <c r="E10" s="58">
        <f>'[2]Lampiran 3.1a MU 1'!$E$1499+'[2]Lampiran 3.1a MU 2 '!$E$1499</f>
        <v>0</v>
      </c>
      <c r="F10" s="58"/>
      <c r="G10" s="58">
        <v>0</v>
      </c>
      <c r="H10" s="58">
        <f t="shared" si="0"/>
        <v>55303.222597300053</v>
      </c>
      <c r="I10" s="59">
        <f>ROUNDDOWN(H10,2)</f>
        <v>55303.22</v>
      </c>
      <c r="J10" s="4"/>
    </row>
    <row r="11" spans="1:10">
      <c r="A11" s="15" t="s">
        <v>60</v>
      </c>
      <c r="B11" s="59">
        <f>'[3]Lampiran 3.1a MU 1'!$C$1499+'[3]Lampiran 3.1a MU 2 '!$C$1499</f>
        <v>61499298.361772761</v>
      </c>
      <c r="C11" s="58"/>
      <c r="D11" s="59">
        <v>61499298.359999999</v>
      </c>
      <c r="E11" s="59">
        <f>'[3]Lampiran 3.1a MU 1'!$E$1499+'[3]Lampiran 3.1a MU 2 '!$E$1499</f>
        <v>13702.468073</v>
      </c>
      <c r="F11" s="58"/>
      <c r="G11" s="59">
        <v>13702.47</v>
      </c>
      <c r="H11" s="58">
        <f t="shared" si="0"/>
        <v>61485.595893699756</v>
      </c>
      <c r="I11" s="59">
        <f t="shared" ref="I11:I35" si="1">ROUNDDOWN(H11,2)</f>
        <v>61485.59</v>
      </c>
      <c r="J11" s="4"/>
    </row>
    <row r="12" spans="1:10">
      <c r="A12" s="15" t="s">
        <v>61</v>
      </c>
      <c r="B12" s="59">
        <f>'[4]Lampiran 3.1a MU 1'!$C$1355+'[4]Lampiran 3.1a MU 2 '!$C$1355</f>
        <v>55929874.663499966</v>
      </c>
      <c r="C12" s="58"/>
      <c r="D12" s="59">
        <v>55929874.659999996</v>
      </c>
      <c r="E12" s="59">
        <f>'[4]Lampiran 3.1a MU 1'!$E$1355+'[4]Lampiran 3.1a MU 2 '!$E$1355</f>
        <v>46671.927933999992</v>
      </c>
      <c r="F12" s="58"/>
      <c r="G12" s="59">
        <v>46671.93</v>
      </c>
      <c r="H12" s="58">
        <f t="shared" si="0"/>
        <v>55883.202735565967</v>
      </c>
      <c r="I12" s="59">
        <f t="shared" si="1"/>
        <v>55883.199999999997</v>
      </c>
      <c r="J12" s="4"/>
    </row>
    <row r="13" spans="1:10">
      <c r="A13" s="15" t="s">
        <v>62</v>
      </c>
      <c r="B13" s="59">
        <f>'[5]Lampiran 3.1a MU 1'!$C$1499+'[5]Lampiran 3.1a MU 2 '!$C$1500</f>
        <v>63527136.607300013</v>
      </c>
      <c r="C13" s="58"/>
      <c r="D13" s="59">
        <v>63527136.609999999</v>
      </c>
      <c r="E13" s="59">
        <f>'[5]Lampiran 3.1a MU 1'!$E$1499+'[5]Lampiran 3.1a MU 2 '!$E$1500</f>
        <v>0</v>
      </c>
      <c r="F13" s="58"/>
      <c r="G13" s="59">
        <v>0</v>
      </c>
      <c r="H13" s="58">
        <f t="shared" si="0"/>
        <v>63527.13660730001</v>
      </c>
      <c r="I13" s="59">
        <f t="shared" si="1"/>
        <v>63527.13</v>
      </c>
      <c r="J13" s="4"/>
    </row>
    <row r="14" spans="1:10">
      <c r="A14" s="15" t="s">
        <v>63</v>
      </c>
      <c r="B14" s="59">
        <f>'[6]Lampiran 3.1a MU 1'!$C$1452+'[6]Lampiran 3.1a MU 2 '!$C$1452</f>
        <v>59367313.007999986</v>
      </c>
      <c r="C14" s="58"/>
      <c r="D14" s="59">
        <v>59367313.009999998</v>
      </c>
      <c r="E14" s="59">
        <f>'[6]Lampiran 3.1a MU 1'!$E$1452+'[6]Lampiran 3.1a MU 2 '!$E$1452</f>
        <v>0</v>
      </c>
      <c r="F14" s="58"/>
      <c r="G14" s="59">
        <v>0</v>
      </c>
      <c r="H14" s="58">
        <f t="shared" si="0"/>
        <v>59367.313007999983</v>
      </c>
      <c r="I14" s="59">
        <f t="shared" si="1"/>
        <v>59367.31</v>
      </c>
      <c r="J14" s="4"/>
    </row>
    <row r="15" spans="1:10">
      <c r="A15" s="15" t="s">
        <v>64</v>
      </c>
      <c r="B15" s="59">
        <f>'[7]Lampiran 3.1a MU 1'!$C$1500+'[7]Lampiran 3.1a MU 2 '!$C$1500</f>
        <v>62173439.817222774</v>
      </c>
      <c r="C15" s="58"/>
      <c r="D15" s="59">
        <v>62173439.82</v>
      </c>
      <c r="E15" s="59">
        <f>'[7]Lampiran 3.1a MU 1'!$E$1500+'[7]Lampiran 3.1a MU 2 '!$E$1500</f>
        <v>12749.015035</v>
      </c>
      <c r="F15" s="58"/>
      <c r="G15" s="59">
        <v>12749.02</v>
      </c>
      <c r="H15" s="58">
        <f t="shared" si="0"/>
        <v>62160.690802187768</v>
      </c>
      <c r="I15" s="59">
        <f t="shared" si="1"/>
        <v>62160.69</v>
      </c>
      <c r="J15" s="4"/>
    </row>
    <row r="16" spans="1:10">
      <c r="A16" s="15" t="s">
        <v>65</v>
      </c>
      <c r="B16" s="59">
        <f>'[8]Lampiran 3.1a MU 1'!$C$1452+'[8]Lampiran 3.1a MU 2 '!$C$1452</f>
        <v>60697294.813300036</v>
      </c>
      <c r="C16" s="58"/>
      <c r="D16" s="59">
        <v>60697294.810000002</v>
      </c>
      <c r="E16" s="59">
        <f>'[8]Lampiran 3.1a MU 1'!$E$1452+'[8]Lampiran 3.1a MU 2 '!$E$1452</f>
        <v>0</v>
      </c>
      <c r="F16" s="58"/>
      <c r="G16" s="59">
        <v>0</v>
      </c>
      <c r="H16" s="58">
        <f t="shared" si="0"/>
        <v>60697.294813300039</v>
      </c>
      <c r="I16" s="59">
        <f t="shared" si="1"/>
        <v>60697.29</v>
      </c>
      <c r="J16" s="4"/>
    </row>
    <row r="17" spans="1:10">
      <c r="A17" s="15" t="s">
        <v>66</v>
      </c>
      <c r="B17" s="59">
        <f>'[9]Lampiran 3.1a MU 1'!$C$1500+'[9]Lampiran 3.1a MU 2 '!$C$1500</f>
        <v>63254830.500999987</v>
      </c>
      <c r="C17" s="58"/>
      <c r="D17" s="59">
        <v>63254830.5</v>
      </c>
      <c r="E17" s="59">
        <f>'[9]Lampiran 3.1a MU 1'!$E$1500+'[9]Lampiran 3.1a MU 2 '!$E$1500</f>
        <v>0</v>
      </c>
      <c r="F17" s="58"/>
      <c r="G17" s="59">
        <v>0</v>
      </c>
      <c r="H17" s="58">
        <f t="shared" si="0"/>
        <v>63254.830500999989</v>
      </c>
      <c r="I17" s="59">
        <f t="shared" si="1"/>
        <v>63254.83</v>
      </c>
      <c r="J17" s="4"/>
    </row>
    <row r="18" spans="1:10">
      <c r="A18" s="15" t="s">
        <v>67</v>
      </c>
      <c r="B18" s="59">
        <f>'[10]Lampiran 3.1a MU 1'!$C$1500+'[10]Lampiran 3.1a MU 2 '!$C$1500</f>
        <v>62682350.877000034</v>
      </c>
      <c r="C18" s="58"/>
      <c r="D18" s="59">
        <v>62682350.880000003</v>
      </c>
      <c r="E18" s="59">
        <f>'[10]Lampiran 3.1a MU 1'!$E$1500+'[10]Lampiran 3.1a MU 2 '!$E$1500</f>
        <v>0</v>
      </c>
      <c r="F18" s="58"/>
      <c r="G18" s="59">
        <v>0</v>
      </c>
      <c r="H18" s="58">
        <f t="shared" si="0"/>
        <v>62682.350877000034</v>
      </c>
      <c r="I18" s="59">
        <f t="shared" si="1"/>
        <v>62682.35</v>
      </c>
      <c r="J18" s="4"/>
    </row>
    <row r="19" spans="1:10">
      <c r="A19" s="76" t="s">
        <v>68</v>
      </c>
      <c r="B19" s="59">
        <f>'[11]Lampiran 3.1a MU 1'!$C$1452+'[11]Lampiran 3.1a MU 2 '!$C$1452</f>
        <v>59661152.833343789</v>
      </c>
      <c r="C19" s="78">
        <f>B19*(1-C7)</f>
        <v>59601491.680510446</v>
      </c>
      <c r="D19" s="59">
        <v>59661152.829999998</v>
      </c>
      <c r="E19" s="59">
        <f>'[11]Lampiran 3.1a MU 1'!$E$1452+'[11]Lampiran 3.1a MU 2 '!$E$1452</f>
        <v>0</v>
      </c>
      <c r="F19" s="78">
        <f>E19*(1+F7)</f>
        <v>0</v>
      </c>
      <c r="G19" s="59">
        <v>0</v>
      </c>
      <c r="H19" s="58">
        <f>(C19-F19)/1000</f>
        <v>59601.491680510444</v>
      </c>
      <c r="I19" s="59">
        <f t="shared" si="1"/>
        <v>59601.49</v>
      </c>
      <c r="J19" s="4"/>
    </row>
    <row r="20" spans="1:10">
      <c r="A20" s="76" t="s">
        <v>69</v>
      </c>
      <c r="B20" s="59">
        <f>'[12]Lampiran 3.1a MU 1'!$C$1120+'[12]Lampiran 3.1a MU 2 '!$C$1120</f>
        <v>30767283.954414934</v>
      </c>
      <c r="C20" s="78">
        <f>B20*(1-C7)</f>
        <v>30736516.670460518</v>
      </c>
      <c r="D20" s="59">
        <v>30767283.949999999</v>
      </c>
      <c r="E20" s="59">
        <f>'[12]Lampiran 3.1a MU 1'!$E$1120+'[12]Lampiran 3.1a MU 2 '!$E$1120</f>
        <v>113801.32385699998</v>
      </c>
      <c r="F20" s="78">
        <f>E20*(1+F7)</f>
        <v>113915.12518085697</v>
      </c>
      <c r="G20" s="59">
        <v>113801.32</v>
      </c>
      <c r="H20" s="58">
        <f>(C20-F20)/1000</f>
        <v>30622.601545279664</v>
      </c>
      <c r="I20" s="59">
        <f t="shared" si="1"/>
        <v>30622.6</v>
      </c>
      <c r="J20" s="4"/>
    </row>
    <row r="21" spans="1:10">
      <c r="A21" s="47" t="s">
        <v>71</v>
      </c>
      <c r="B21" s="59">
        <f>'[13]Lampiran 3.1a MU 1'!$C$1452+'[13]Lampiran 3.1a MU 2 '!$C$1452</f>
        <v>60207993.938119993</v>
      </c>
      <c r="C21" s="58"/>
      <c r="D21" s="79">
        <v>60207993.939999998</v>
      </c>
      <c r="E21" s="59">
        <f>'[13]Lampiran 3.1a MU 1'!$E$1452+'[13]Lampiran 3.1a MU 2 '!$E$1452</f>
        <v>11924.383819000001</v>
      </c>
      <c r="F21" s="58"/>
      <c r="G21" s="59">
        <v>11924.38</v>
      </c>
      <c r="H21" s="58">
        <f>(B21-E21)/1000</f>
        <v>60196.069554300993</v>
      </c>
      <c r="I21" s="59">
        <f>ROUNDDOWN(H21,2)</f>
        <v>60196.06</v>
      </c>
      <c r="J21" s="4"/>
    </row>
    <row r="22" spans="1:10">
      <c r="A22" s="15" t="s">
        <v>72</v>
      </c>
      <c r="B22" s="59">
        <f>'[14]Lampiran 3.1a MU 1'!$C$1500+'[14]Lampiran 3.1a MU 2 '!$C$1500</f>
        <v>63492822.308000036</v>
      </c>
      <c r="C22" s="58"/>
      <c r="D22" s="59">
        <v>63492822.310000002</v>
      </c>
      <c r="E22" s="59">
        <f>'[14]Lampiran 3.1a MU 1'!$E$1500+'[14]Lampiran 3.1a MU 2 '!$E$1500</f>
        <v>0</v>
      </c>
      <c r="F22" s="58"/>
      <c r="G22" s="59">
        <v>0</v>
      </c>
      <c r="H22" s="58">
        <f t="shared" ref="H22:H35" si="2">(B22-E22)/1000</f>
        <v>63492.822308000039</v>
      </c>
      <c r="I22" s="59">
        <f t="shared" si="1"/>
        <v>63492.82</v>
      </c>
      <c r="J22" s="4"/>
    </row>
    <row r="23" spans="1:10">
      <c r="A23" s="15" t="s">
        <v>73</v>
      </c>
      <c r="B23" s="59">
        <f>'[15]Lampiran 3.1a MU 1'!$C$1500+'[15]Lampiran 3.1a MU 2 '!$C$1500</f>
        <v>60516434.306187987</v>
      </c>
      <c r="C23" s="58"/>
      <c r="D23" s="59">
        <v>60516434.310000002</v>
      </c>
      <c r="E23" s="59">
        <f>'[15]Lampiran 3.1a MU 1'!$E$1500+'[15]Lampiran 3.1a MU 2 '!$E$1500</f>
        <v>0</v>
      </c>
      <c r="F23" s="58"/>
      <c r="G23" s="59">
        <v>0</v>
      </c>
      <c r="H23" s="58">
        <f t="shared" si="2"/>
        <v>60516.434306187984</v>
      </c>
      <c r="I23" s="59">
        <f t="shared" si="1"/>
        <v>60516.43</v>
      </c>
      <c r="J23" s="4"/>
    </row>
    <row r="24" spans="1:10">
      <c r="A24" s="15" t="s">
        <v>74</v>
      </c>
      <c r="B24" s="59">
        <f>'[16]Lampiran 3.1a MU 1'!$C$1356+'[16]Lampiran 3.1a MU 2 '!$C$1356</f>
        <v>56095777.520000041</v>
      </c>
      <c r="C24" s="58"/>
      <c r="D24" s="59">
        <v>56095777.520000003</v>
      </c>
      <c r="E24" s="59">
        <f>'[16]Lampiran 3.1a MU 1'!$E$1356+'[16]Lampiran 3.1a MU 2 '!$E$1356</f>
        <v>0</v>
      </c>
      <c r="F24" s="58"/>
      <c r="G24" s="59">
        <v>0</v>
      </c>
      <c r="H24" s="58">
        <f t="shared" si="2"/>
        <v>56095.77752000004</v>
      </c>
      <c r="I24" s="59">
        <f t="shared" si="1"/>
        <v>56095.77</v>
      </c>
      <c r="J24" s="4"/>
    </row>
    <row r="25" spans="1:10">
      <c r="A25" s="15" t="s">
        <v>75</v>
      </c>
      <c r="B25" s="59">
        <f>'[17]Lampiran 3.1a MU 1'!$C$1500+'[17]Lampiran 3.1a MU 2 '!$C$1500</f>
        <v>63826014.035900071</v>
      </c>
      <c r="C25" s="58"/>
      <c r="D25" s="59">
        <v>63826014.039999999</v>
      </c>
      <c r="E25" s="59">
        <f>'[17]Lampiran 3.1a MU 1'!$E$1500+'[17]Lampiran 3.1a MU 2 '!$E$1500</f>
        <v>0</v>
      </c>
      <c r="F25" s="58"/>
      <c r="G25" s="59">
        <v>0</v>
      </c>
      <c r="H25" s="58">
        <f t="shared" si="2"/>
        <v>63826.014035900072</v>
      </c>
      <c r="I25" s="59">
        <f t="shared" si="1"/>
        <v>63826.01</v>
      </c>
      <c r="J25" s="4"/>
    </row>
    <row r="26" spans="1:10">
      <c r="A26" s="15" t="s">
        <v>76</v>
      </c>
      <c r="B26" s="59">
        <f>'[18]Lampiran 3.1a MU 1'!$C$1452+'[18]Lampiran 3.1a MU 2 '!$C$1452</f>
        <v>61325831.817678973</v>
      </c>
      <c r="C26" s="58"/>
      <c r="D26" s="59">
        <v>61325831.82</v>
      </c>
      <c r="E26" s="59">
        <f>'[18]Lampiran 3.1a MU 1'!$E$1452+'[18]Lampiran 3.1a MU 2 '!$E$1452</f>
        <v>29.655663000000001</v>
      </c>
      <c r="F26" s="58"/>
      <c r="G26" s="59">
        <v>29.66</v>
      </c>
      <c r="H26" s="58">
        <f t="shared" si="2"/>
        <v>61325.802162015978</v>
      </c>
      <c r="I26" s="59">
        <f t="shared" si="1"/>
        <v>61325.8</v>
      </c>
      <c r="J26" s="4"/>
    </row>
    <row r="27" spans="1:10">
      <c r="A27" s="15" t="s">
        <v>77</v>
      </c>
      <c r="B27" s="59">
        <f>'[19]Lampiran 3.1a MU 1'!$C$1500+'[19]Lampiran 3.1a MU 2 '!$C$1500</f>
        <v>62342166.450000003</v>
      </c>
      <c r="C27" s="58"/>
      <c r="D27" s="59">
        <v>62342166.450000003</v>
      </c>
      <c r="E27" s="59">
        <f>'[19]Lampiran 3.1a MU 1'!$E$1500+'[19]Lampiran 3.1a MU 2 '!$E$1452</f>
        <v>0</v>
      </c>
      <c r="F27" s="58"/>
      <c r="G27" s="59">
        <v>0</v>
      </c>
      <c r="H27" s="58">
        <f t="shared" si="2"/>
        <v>62342.166450000004</v>
      </c>
      <c r="I27" s="59">
        <f t="shared" si="1"/>
        <v>62342.16</v>
      </c>
      <c r="J27" s="4"/>
    </row>
    <row r="28" spans="1:10">
      <c r="A28" s="15" t="s">
        <v>78</v>
      </c>
      <c r="B28" s="59">
        <f>'[20]Lampiran 3.1a MU 1'!$C$1452+'[20]Lampiran 3.1a MU 2 '!$C$1452</f>
        <v>58716376.915600017</v>
      </c>
      <c r="C28" s="58"/>
      <c r="D28" s="59">
        <v>58716376.920000002</v>
      </c>
      <c r="E28" s="59">
        <f>'[20]Lampiran 3.1a MU 1'!$E$1452+'[20]Lampiran 3.1a MU 2 '!$E$1452</f>
        <v>6.2493979999999993</v>
      </c>
      <c r="F28" s="58"/>
      <c r="G28" s="59">
        <v>6.25</v>
      </c>
      <c r="H28" s="58">
        <f t="shared" si="2"/>
        <v>58716.370666202019</v>
      </c>
      <c r="I28" s="59">
        <f t="shared" si="1"/>
        <v>58716.37</v>
      </c>
      <c r="J28" s="4"/>
    </row>
    <row r="29" spans="1:10">
      <c r="A29" s="15" t="s">
        <v>79</v>
      </c>
      <c r="B29" s="59">
        <f>'[21]Lampiran 3.1a MU 1'!$C$1501+'[21]Lampiran 3.1a MU 2 '!$C$1501</f>
        <v>58423516.07581301</v>
      </c>
      <c r="C29" s="58"/>
      <c r="D29" s="59">
        <v>58423516.079999998</v>
      </c>
      <c r="E29" s="59">
        <f>'[21]Lampiran 3.1a MU 1'!$E$1501+'[21]Lampiran 3.1a MU 2 '!$E$1501</f>
        <v>35092.692414000005</v>
      </c>
      <c r="F29" s="58"/>
      <c r="G29" s="59">
        <v>35092.69</v>
      </c>
      <c r="H29" s="58">
        <f t="shared" si="2"/>
        <v>58388.423383399007</v>
      </c>
      <c r="I29" s="59">
        <f t="shared" si="1"/>
        <v>58388.42</v>
      </c>
      <c r="J29" s="4"/>
    </row>
    <row r="30" spans="1:10">
      <c r="A30" s="15" t="s">
        <v>80</v>
      </c>
      <c r="B30" s="59">
        <f>'[22]Lampiran 3.1a MU 1'!$C$1501+'[22]Lampiran 3.1a MU 2 '!$C$1501</f>
        <v>62767307.979099989</v>
      </c>
      <c r="C30" s="58"/>
      <c r="D30" s="59">
        <v>62767307.979999997</v>
      </c>
      <c r="E30" s="59">
        <f>'[22]Lampiran 3.1a MU 1'!$E$1501+'[22]Lampiran 3.1a MU 2 '!$E$1501</f>
        <v>6211.0677809999997</v>
      </c>
      <c r="F30" s="58"/>
      <c r="G30" s="59">
        <v>6211.07</v>
      </c>
      <c r="H30" s="58">
        <f t="shared" si="2"/>
        <v>62761.096911318986</v>
      </c>
      <c r="I30" s="59">
        <f t="shared" si="1"/>
        <v>62761.09</v>
      </c>
      <c r="J30" s="4"/>
    </row>
    <row r="31" spans="1:10">
      <c r="A31" s="15" t="s">
        <v>81</v>
      </c>
      <c r="B31" s="59">
        <f>'[23]Lampiran 3.1a MU 1'!$C$1501+'[23]Lampiran 3.1a MU 2 '!$C$1501</f>
        <v>61112145.250000015</v>
      </c>
      <c r="C31" s="58"/>
      <c r="D31" s="59">
        <v>61112145.25</v>
      </c>
      <c r="E31" s="59">
        <f>'[23]Lampiran 3.1a MU 1'!$E$1501+'[23]Lampiran 3.1a MU 2 '!$E$1501</f>
        <v>0</v>
      </c>
      <c r="F31" s="58"/>
      <c r="G31" s="59">
        <v>0</v>
      </c>
      <c r="H31" s="58">
        <f t="shared" si="2"/>
        <v>61112.145250000016</v>
      </c>
      <c r="I31" s="59">
        <f t="shared" si="1"/>
        <v>61112.14</v>
      </c>
      <c r="J31" s="4"/>
    </row>
    <row r="32" spans="1:10">
      <c r="A32" s="15" t="s">
        <v>82</v>
      </c>
      <c r="B32" s="59">
        <f>'[24]Lampiran 3.1a MU 1'!$C$1277+'[24]Lampiran 3.1a MU 2 '!$C$1277</f>
        <v>61509435.601500049</v>
      </c>
      <c r="C32" s="58"/>
      <c r="D32" s="59">
        <v>61509435.600000001</v>
      </c>
      <c r="E32" s="59">
        <f>'[24]Lampiran 3.1a MU 1'!$E$1277+'[24]Lampiran 3.1a MU 2 '!$E$1277</f>
        <v>0</v>
      </c>
      <c r="F32" s="58"/>
      <c r="G32" s="59">
        <v>0</v>
      </c>
      <c r="H32" s="58">
        <f t="shared" si="2"/>
        <v>61509.435601500052</v>
      </c>
      <c r="I32" s="59">
        <f t="shared" si="1"/>
        <v>61509.43</v>
      </c>
      <c r="J32" s="4"/>
    </row>
    <row r="33" spans="1:10">
      <c r="A33" s="47" t="s">
        <v>83</v>
      </c>
      <c r="B33" s="59">
        <f>'[25]Lampiran 3.1a MU 1'!$C$1529+'[25]Lampiran 3.1a MU 2 '!$C$1457</f>
        <v>60355651.921399958</v>
      </c>
      <c r="C33" s="58"/>
      <c r="D33" s="59">
        <v>60355651.920000002</v>
      </c>
      <c r="E33" s="59">
        <f>'[25]Lampiran 3.1a MU 1'!$E$1529+'[25]Lampiran 3.1a MU 2 '!$E$1457</f>
        <v>0</v>
      </c>
      <c r="F33" s="58"/>
      <c r="G33" s="59">
        <v>0</v>
      </c>
      <c r="H33" s="58">
        <f>(B33-E33)/1000</f>
        <v>60355.651921399956</v>
      </c>
      <c r="I33" s="59">
        <f t="shared" si="1"/>
        <v>60355.65</v>
      </c>
      <c r="J33" s="4"/>
    </row>
    <row r="34" spans="1:10">
      <c r="A34" s="15" t="s">
        <v>84</v>
      </c>
      <c r="B34" s="59">
        <f>'[26]Lampiran 3.1a MU 1'!$C$1504+'[26]Lampiran 3.1a MU 2 '!$C$1504</f>
        <v>56935389.966999926</v>
      </c>
      <c r="C34" s="58"/>
      <c r="D34" s="59">
        <v>56935389.969999999</v>
      </c>
      <c r="E34" s="59">
        <f>'[26]Lampiran 3.1a MU 1'!$E$1504+'[26]Lampiran 3.1a MU 2 '!$E$1504</f>
        <v>0</v>
      </c>
      <c r="F34" s="58"/>
      <c r="G34" s="59">
        <v>0</v>
      </c>
      <c r="H34" s="58">
        <f t="shared" si="2"/>
        <v>56935.389966999923</v>
      </c>
      <c r="I34" s="59">
        <f t="shared" si="1"/>
        <v>56935.38</v>
      </c>
      <c r="J34" s="4"/>
    </row>
    <row r="35" spans="1:10">
      <c r="A35" s="15" t="s">
        <v>85</v>
      </c>
      <c r="B35" s="59">
        <f>[27]MU1!$C$1500+[27]MU2!$C$1501</f>
        <v>62429120.682999931</v>
      </c>
      <c r="C35" s="58"/>
      <c r="D35" s="59">
        <v>62429120.68</v>
      </c>
      <c r="E35" s="59">
        <f>[27]MU1!$E$1500+[27]MU2!$E$1501</f>
        <v>0</v>
      </c>
      <c r="F35" s="58"/>
      <c r="G35" s="59">
        <v>0</v>
      </c>
      <c r="H35" s="58">
        <f t="shared" si="2"/>
        <v>62429.120682999928</v>
      </c>
      <c r="I35" s="59">
        <f t="shared" si="1"/>
        <v>62429.120000000003</v>
      </c>
      <c r="J35" s="4"/>
    </row>
    <row r="36" spans="1:10">
      <c r="A36" s="7" t="s">
        <v>8</v>
      </c>
      <c r="B36" s="42">
        <f>SUM(B10:B35)</f>
        <v>1544919182.8034546</v>
      </c>
      <c r="C36" s="41"/>
      <c r="D36" s="42">
        <f>SUM(D10:D35)</f>
        <v>1544919182.8199999</v>
      </c>
      <c r="E36" s="42">
        <f>SUM(E10:E35)</f>
        <v>240188.78397400002</v>
      </c>
      <c r="F36" s="41"/>
      <c r="G36" s="42">
        <f>SUM(G10:G35)</f>
        <v>240188.79</v>
      </c>
      <c r="H36" s="41">
        <f>SUM(H9:H35)</f>
        <v>1598751.2311853042</v>
      </c>
      <c r="I36" s="42">
        <f>SUM(I9:I35)</f>
        <v>1598751.1199999996</v>
      </c>
    </row>
    <row r="37" spans="1:10">
      <c r="A37" s="40"/>
    </row>
    <row r="38" spans="1:10">
      <c r="I38" s="4"/>
    </row>
  </sheetData>
  <mergeCells count="16">
    <mergeCell ref="A1:H1"/>
    <mergeCell ref="A2:H2"/>
    <mergeCell ref="A3:H3"/>
    <mergeCell ref="H5:I5"/>
    <mergeCell ref="H6:I6"/>
    <mergeCell ref="A5:A8"/>
    <mergeCell ref="I7:I8"/>
    <mergeCell ref="H7:H8"/>
    <mergeCell ref="B5:D5"/>
    <mergeCell ref="E5:G5"/>
    <mergeCell ref="B6:C6"/>
    <mergeCell ref="D6:D7"/>
    <mergeCell ref="B8:C8"/>
    <mergeCell ref="E6:F6"/>
    <mergeCell ref="G6:G7"/>
    <mergeCell ref="E8:F8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6A7A-3342-4DCD-9964-9A0B659125AD}">
  <dimension ref="A1:R48"/>
  <sheetViews>
    <sheetView topLeftCell="A7" zoomScale="80" zoomScaleNormal="80" workbookViewId="0">
      <selection activeCell="N17" sqref="N17"/>
    </sheetView>
  </sheetViews>
  <sheetFormatPr defaultRowHeight="14.5"/>
  <cols>
    <col min="1" max="1" width="17.08984375" customWidth="1"/>
    <col min="2" max="2" width="11.26953125" customWidth="1"/>
    <col min="3" max="3" width="10.1796875" customWidth="1"/>
    <col min="4" max="4" width="10" bestFit="1" customWidth="1"/>
    <col min="5" max="5" width="9.7265625" customWidth="1"/>
    <col min="6" max="6" width="10" customWidth="1"/>
    <col min="8" max="8" width="9.7265625" customWidth="1"/>
    <col min="9" max="9" width="10.08984375" customWidth="1"/>
    <col min="11" max="11" width="9.81640625" customWidth="1"/>
    <col min="14" max="14" width="11.453125" customWidth="1"/>
    <col min="15" max="15" width="10.36328125" customWidth="1"/>
    <col min="18" max="18" width="10.08984375" customWidth="1"/>
  </cols>
  <sheetData>
    <row r="1" spans="1:18">
      <c r="A1" t="s">
        <v>20</v>
      </c>
    </row>
    <row r="2" spans="1:18">
      <c r="A2" s="181" t="s">
        <v>1</v>
      </c>
      <c r="B2" s="172" t="s">
        <v>20</v>
      </c>
      <c r="C2" s="173"/>
      <c r="D2" s="174"/>
      <c r="E2" s="178" t="s">
        <v>42</v>
      </c>
      <c r="F2" s="172" t="s">
        <v>20</v>
      </c>
      <c r="G2" s="173"/>
      <c r="H2" s="174"/>
      <c r="I2" s="178" t="s">
        <v>43</v>
      </c>
      <c r="J2" s="175" t="s">
        <v>44</v>
      </c>
      <c r="K2" s="172" t="s">
        <v>52</v>
      </c>
      <c r="L2" s="173"/>
      <c r="M2" s="174"/>
      <c r="N2" s="178" t="s">
        <v>43</v>
      </c>
      <c r="O2" s="172" t="s">
        <v>45</v>
      </c>
      <c r="P2" s="173"/>
      <c r="Q2" s="174"/>
      <c r="R2" s="175" t="s">
        <v>43</v>
      </c>
    </row>
    <row r="3" spans="1:18">
      <c r="A3" s="179"/>
      <c r="B3" s="169" t="s">
        <v>46</v>
      </c>
      <c r="C3" s="170"/>
      <c r="D3" s="171"/>
      <c r="E3" s="179"/>
      <c r="F3" s="169" t="s">
        <v>46</v>
      </c>
      <c r="G3" s="170"/>
      <c r="H3" s="171"/>
      <c r="I3" s="179"/>
      <c r="J3" s="176"/>
      <c r="K3" s="166" t="s">
        <v>19</v>
      </c>
      <c r="L3" s="167"/>
      <c r="M3" s="168"/>
      <c r="N3" s="179"/>
      <c r="O3" s="166" t="s">
        <v>19</v>
      </c>
      <c r="P3" s="167"/>
      <c r="Q3" s="168"/>
      <c r="R3" s="176"/>
    </row>
    <row r="4" spans="1:18">
      <c r="A4" s="179"/>
      <c r="B4" s="182" t="s">
        <v>47</v>
      </c>
      <c r="C4" s="183"/>
      <c r="D4" s="184"/>
      <c r="E4" s="179"/>
      <c r="F4" s="182" t="s">
        <v>48</v>
      </c>
      <c r="G4" s="183"/>
      <c r="H4" s="184"/>
      <c r="I4" s="179"/>
      <c r="J4" s="176"/>
      <c r="K4" s="169" t="s">
        <v>48</v>
      </c>
      <c r="L4" s="170"/>
      <c r="M4" s="171"/>
      <c r="N4" s="179"/>
      <c r="O4" s="169" t="s">
        <v>48</v>
      </c>
      <c r="P4" s="170"/>
      <c r="Q4" s="171"/>
      <c r="R4" s="176"/>
    </row>
    <row r="5" spans="1:18">
      <c r="A5" s="180"/>
      <c r="B5" s="28">
        <v>1</v>
      </c>
      <c r="C5" s="28">
        <v>2</v>
      </c>
      <c r="D5" s="16">
        <v>3</v>
      </c>
      <c r="E5" s="180"/>
      <c r="F5" s="16" t="s">
        <v>49</v>
      </c>
      <c r="G5" s="16" t="s">
        <v>50</v>
      </c>
      <c r="H5" s="16" t="s">
        <v>51</v>
      </c>
      <c r="I5" s="180"/>
      <c r="J5" s="176"/>
      <c r="K5" s="16" t="s">
        <v>49</v>
      </c>
      <c r="L5" s="16" t="s">
        <v>50</v>
      </c>
      <c r="M5" s="16" t="s">
        <v>51</v>
      </c>
      <c r="N5" s="180"/>
      <c r="O5" s="16" t="s">
        <v>49</v>
      </c>
      <c r="P5" s="16" t="s">
        <v>50</v>
      </c>
      <c r="Q5" s="16" t="s">
        <v>51</v>
      </c>
      <c r="R5" s="176"/>
    </row>
    <row r="6" spans="1:18">
      <c r="A6" s="60">
        <v>44155</v>
      </c>
      <c r="B6" s="69">
        <v>4298</v>
      </c>
      <c r="C6" s="69">
        <v>5757</v>
      </c>
      <c r="D6" s="69">
        <v>3272</v>
      </c>
      <c r="E6" s="70">
        <f t="shared" ref="E6:E14" si="0">AVERAGE(B6:D6)</f>
        <v>4442.333333333333</v>
      </c>
      <c r="F6" s="69">
        <v>5679</v>
      </c>
      <c r="G6" s="69">
        <v>5698</v>
      </c>
      <c r="H6" s="69">
        <v>3645</v>
      </c>
      <c r="I6" s="32">
        <f t="shared" ref="I6:I14" si="1">AVERAGE(F6:H6)</f>
        <v>5007.333333333333</v>
      </c>
      <c r="J6" s="34">
        <f>((E6+I6)/2)/10000</f>
        <v>0.47248333333333331</v>
      </c>
      <c r="K6" s="72">
        <v>93.8</v>
      </c>
      <c r="L6" s="73">
        <v>94</v>
      </c>
      <c r="M6" s="73">
        <v>91.3</v>
      </c>
      <c r="N6" s="38">
        <f t="shared" ref="N6:N14" si="2">AVERAGE(K6:M6)</f>
        <v>93.033333333333346</v>
      </c>
      <c r="O6" s="74">
        <v>0.10299999999999999</v>
      </c>
      <c r="P6" s="75">
        <v>0.104</v>
      </c>
      <c r="Q6" s="75">
        <v>9.6299999999999997E-2</v>
      </c>
      <c r="R6" s="35">
        <f t="shared" ref="R6:R14" si="3">AVERAGE(O6:Q6)</f>
        <v>0.10110000000000001</v>
      </c>
    </row>
    <row r="7" spans="1:18">
      <c r="A7" s="60">
        <v>44229</v>
      </c>
      <c r="B7" s="71">
        <v>6006</v>
      </c>
      <c r="C7" s="71">
        <v>5250</v>
      </c>
      <c r="D7" s="71">
        <v>2612</v>
      </c>
      <c r="E7" s="70">
        <f t="shared" si="0"/>
        <v>4622.666666666667</v>
      </c>
      <c r="F7" s="71">
        <v>4798</v>
      </c>
      <c r="G7" s="71">
        <v>4624</v>
      </c>
      <c r="H7" s="71">
        <v>3194</v>
      </c>
      <c r="I7" s="32">
        <f t="shared" si="1"/>
        <v>4205.333333333333</v>
      </c>
      <c r="J7" s="34">
        <f t="shared" ref="J7:J14" si="4">((E7+I7)/2)/10000</f>
        <v>0.44140000000000001</v>
      </c>
      <c r="K7" s="73">
        <v>93.4</v>
      </c>
      <c r="L7" s="73">
        <v>93.4</v>
      </c>
      <c r="M7" s="73">
        <v>93.3</v>
      </c>
      <c r="N7" s="38">
        <f t="shared" si="2"/>
        <v>93.366666666666674</v>
      </c>
      <c r="O7" s="75">
        <v>0.111</v>
      </c>
      <c r="P7" s="75">
        <v>0.115</v>
      </c>
      <c r="Q7" s="75">
        <v>0.105</v>
      </c>
      <c r="R7" s="35">
        <f t="shared" si="3"/>
        <v>0.11033333333333334</v>
      </c>
    </row>
    <row r="8" spans="1:18">
      <c r="A8" s="60">
        <v>44338</v>
      </c>
      <c r="B8" s="71">
        <v>5853</v>
      </c>
      <c r="C8" s="71">
        <v>5737</v>
      </c>
      <c r="D8" s="71">
        <v>3973</v>
      </c>
      <c r="E8" s="33">
        <f t="shared" si="0"/>
        <v>5187.666666666667</v>
      </c>
      <c r="F8" s="71">
        <v>5271</v>
      </c>
      <c r="G8" s="71">
        <v>5110</v>
      </c>
      <c r="H8" s="71">
        <v>3167</v>
      </c>
      <c r="I8" s="32">
        <f t="shared" si="1"/>
        <v>4516</v>
      </c>
      <c r="J8" s="34">
        <f t="shared" si="4"/>
        <v>0.48518333333333341</v>
      </c>
      <c r="K8" s="73">
        <v>93.7</v>
      </c>
      <c r="L8" s="73">
        <v>93.5</v>
      </c>
      <c r="M8" s="73">
        <v>93.3</v>
      </c>
      <c r="N8" s="38">
        <f t="shared" si="2"/>
        <v>93.5</v>
      </c>
      <c r="O8" s="75">
        <v>0.111</v>
      </c>
      <c r="P8" s="75">
        <v>0.114</v>
      </c>
      <c r="Q8" s="75">
        <v>0.107</v>
      </c>
      <c r="R8" s="35">
        <f t="shared" si="3"/>
        <v>0.11066666666666668</v>
      </c>
    </row>
    <row r="9" spans="1:18">
      <c r="A9" s="60">
        <v>44431</v>
      </c>
      <c r="B9" s="71">
        <v>5211</v>
      </c>
      <c r="C9" s="71">
        <v>4796</v>
      </c>
      <c r="D9" s="71">
        <v>3453</v>
      </c>
      <c r="E9" s="70">
        <f t="shared" si="0"/>
        <v>4486.666666666667</v>
      </c>
      <c r="F9" s="71">
        <v>4150</v>
      </c>
      <c r="G9" s="71">
        <v>4038</v>
      </c>
      <c r="H9" s="71">
        <v>2695</v>
      </c>
      <c r="I9" s="32">
        <f t="shared" si="1"/>
        <v>3627.6666666666665</v>
      </c>
      <c r="J9" s="34">
        <f t="shared" si="4"/>
        <v>0.40571666666666667</v>
      </c>
      <c r="K9" s="73">
        <v>92.1</v>
      </c>
      <c r="L9" s="73">
        <v>92.1</v>
      </c>
      <c r="M9" s="73">
        <v>92.8</v>
      </c>
      <c r="N9" s="38">
        <f t="shared" si="2"/>
        <v>92.333333333333329</v>
      </c>
      <c r="O9" s="75">
        <v>0.13500000000000001</v>
      </c>
      <c r="P9" s="75">
        <v>0.13600000000000001</v>
      </c>
      <c r="Q9" s="75">
        <v>0.11799999999999999</v>
      </c>
      <c r="R9" s="35">
        <f t="shared" si="3"/>
        <v>0.12966666666666668</v>
      </c>
    </row>
    <row r="10" spans="1:18">
      <c r="A10" s="81">
        <v>44531</v>
      </c>
      <c r="B10" s="83">
        <v>5150</v>
      </c>
      <c r="C10" s="83">
        <v>5163</v>
      </c>
      <c r="D10" s="83">
        <v>3628</v>
      </c>
      <c r="E10" s="70">
        <f t="shared" si="0"/>
        <v>4647</v>
      </c>
      <c r="F10" s="83">
        <v>4539</v>
      </c>
      <c r="G10" s="83">
        <v>4558</v>
      </c>
      <c r="H10" s="83">
        <v>2324</v>
      </c>
      <c r="I10" s="69">
        <f t="shared" si="1"/>
        <v>3807</v>
      </c>
      <c r="J10" s="34">
        <f t="shared" si="4"/>
        <v>0.42270000000000002</v>
      </c>
      <c r="K10" s="84">
        <v>94</v>
      </c>
      <c r="L10" s="84">
        <v>93.9</v>
      </c>
      <c r="M10" s="84">
        <v>93.5</v>
      </c>
      <c r="N10" s="73">
        <f t="shared" si="2"/>
        <v>93.8</v>
      </c>
      <c r="O10" s="85">
        <v>0.10100000000000001</v>
      </c>
      <c r="P10" s="85">
        <v>0.1</v>
      </c>
      <c r="Q10" s="85">
        <v>9.1399999999999995E-2</v>
      </c>
      <c r="R10" s="35">
        <f t="shared" si="3"/>
        <v>9.746666666666666E-2</v>
      </c>
    </row>
    <row r="11" spans="1:18">
      <c r="A11" s="81">
        <v>44621</v>
      </c>
      <c r="B11" s="83">
        <v>4830</v>
      </c>
      <c r="C11" s="83">
        <v>4800</v>
      </c>
      <c r="D11" s="83">
        <v>3020</v>
      </c>
      <c r="E11" s="70">
        <f t="shared" si="0"/>
        <v>4216.666666666667</v>
      </c>
      <c r="F11" s="83">
        <v>4080</v>
      </c>
      <c r="G11" s="83">
        <v>4150</v>
      </c>
      <c r="H11" s="83">
        <v>2200</v>
      </c>
      <c r="I11" s="69">
        <f t="shared" si="1"/>
        <v>3476.6666666666665</v>
      </c>
      <c r="J11" s="34">
        <f t="shared" si="4"/>
        <v>0.38466666666666671</v>
      </c>
      <c r="K11" s="84">
        <v>93.5</v>
      </c>
      <c r="L11" s="84">
        <v>93.7</v>
      </c>
      <c r="M11" s="84">
        <v>93.4</v>
      </c>
      <c r="N11" s="73">
        <f t="shared" si="2"/>
        <v>93.533333333333346</v>
      </c>
      <c r="O11" s="85">
        <v>0.105</v>
      </c>
      <c r="P11" s="85">
        <v>0.104</v>
      </c>
      <c r="Q11" s="85">
        <v>9.7000000000000003E-2</v>
      </c>
      <c r="R11" s="35">
        <f t="shared" si="3"/>
        <v>0.10199999999999999</v>
      </c>
    </row>
    <row r="12" spans="1:18">
      <c r="A12" s="81">
        <v>44682</v>
      </c>
      <c r="B12" s="83">
        <v>4980</v>
      </c>
      <c r="C12" s="83">
        <v>4960</v>
      </c>
      <c r="D12" s="83">
        <v>2490</v>
      </c>
      <c r="E12" s="70">
        <f t="shared" si="0"/>
        <v>4143.333333333333</v>
      </c>
      <c r="F12" s="83">
        <v>4780</v>
      </c>
      <c r="G12" s="83">
        <v>4480</v>
      </c>
      <c r="H12" s="83">
        <v>2550</v>
      </c>
      <c r="I12" s="69">
        <f t="shared" si="1"/>
        <v>3936.6666666666665</v>
      </c>
      <c r="J12" s="34">
        <f t="shared" si="4"/>
        <v>0.40400000000000003</v>
      </c>
      <c r="K12" s="84">
        <v>93.8</v>
      </c>
      <c r="L12" s="84">
        <v>93.7</v>
      </c>
      <c r="M12" s="84">
        <v>93</v>
      </c>
      <c r="N12" s="73">
        <f t="shared" si="2"/>
        <v>93.5</v>
      </c>
      <c r="O12" s="85">
        <v>0.10199999999999999</v>
      </c>
      <c r="P12" s="85">
        <v>0.11</v>
      </c>
      <c r="Q12" s="85">
        <v>0.1</v>
      </c>
      <c r="R12" s="35">
        <f t="shared" si="3"/>
        <v>0.104</v>
      </c>
    </row>
    <row r="13" spans="1:18">
      <c r="A13" s="81">
        <v>44774</v>
      </c>
      <c r="B13" s="83">
        <v>4530</v>
      </c>
      <c r="C13" s="83">
        <v>4920</v>
      </c>
      <c r="D13" s="83">
        <v>4000</v>
      </c>
      <c r="E13" s="70">
        <f t="shared" si="0"/>
        <v>4483.333333333333</v>
      </c>
      <c r="F13" s="83">
        <v>4010</v>
      </c>
      <c r="G13" s="83">
        <v>4120</v>
      </c>
      <c r="H13" s="83">
        <v>2190</v>
      </c>
      <c r="I13" s="69">
        <f t="shared" si="1"/>
        <v>3440</v>
      </c>
      <c r="J13" s="34">
        <f t="shared" si="4"/>
        <v>0.39616666666666667</v>
      </c>
      <c r="K13" s="84">
        <v>93.3</v>
      </c>
      <c r="L13" s="84">
        <v>93.2</v>
      </c>
      <c r="M13" s="84">
        <v>92.7</v>
      </c>
      <c r="N13" s="73">
        <f t="shared" si="2"/>
        <v>93.066666666666663</v>
      </c>
      <c r="O13" s="85">
        <v>0.113</v>
      </c>
      <c r="P13" s="85">
        <v>0.11</v>
      </c>
      <c r="Q13" s="85">
        <v>0.104</v>
      </c>
      <c r="R13" s="35">
        <f t="shared" si="3"/>
        <v>0.109</v>
      </c>
    </row>
    <row r="14" spans="1:18">
      <c r="A14" s="81">
        <v>44866</v>
      </c>
      <c r="B14" s="83">
        <v>4970</v>
      </c>
      <c r="C14" s="83">
        <v>5180</v>
      </c>
      <c r="D14" s="83">
        <v>3350</v>
      </c>
      <c r="E14" s="70">
        <f t="shared" si="0"/>
        <v>4500</v>
      </c>
      <c r="F14" s="83">
        <v>4340</v>
      </c>
      <c r="G14" s="83">
        <v>4340</v>
      </c>
      <c r="H14" s="83">
        <v>2540</v>
      </c>
      <c r="I14" s="69">
        <f t="shared" si="1"/>
        <v>3740</v>
      </c>
      <c r="J14" s="34">
        <f t="shared" si="4"/>
        <v>0.41199999999999998</v>
      </c>
      <c r="K14" s="84">
        <v>93.4</v>
      </c>
      <c r="L14" s="84">
        <v>93.8</v>
      </c>
      <c r="M14" s="84">
        <v>93.3</v>
      </c>
      <c r="N14" s="73">
        <f t="shared" si="2"/>
        <v>93.5</v>
      </c>
      <c r="O14" s="85">
        <v>0.106</v>
      </c>
      <c r="P14" s="85">
        <v>0.10199999999999999</v>
      </c>
      <c r="Q14" s="85">
        <v>9.7500000000000003E-2</v>
      </c>
      <c r="R14" s="35">
        <f t="shared" si="3"/>
        <v>0.10183333333333333</v>
      </c>
    </row>
    <row r="15" spans="1:18">
      <c r="A15" s="88"/>
      <c r="B15" s="46"/>
      <c r="C15" s="46"/>
      <c r="D15" s="46"/>
      <c r="E15" s="46"/>
      <c r="F15" s="46"/>
      <c r="G15" s="46"/>
      <c r="H15" s="46"/>
      <c r="I15" s="89"/>
      <c r="J15" s="90">
        <f>SUM(J6:J14)/9</f>
        <v>0.42492407407407407</v>
      </c>
      <c r="K15" s="91"/>
      <c r="L15" s="91"/>
      <c r="M15" s="91"/>
      <c r="N15" s="92"/>
      <c r="O15" s="93"/>
      <c r="P15" s="93"/>
      <c r="Q15" s="93"/>
      <c r="R15" s="94"/>
    </row>
    <row r="16" spans="1:18">
      <c r="C16" s="12" t="s">
        <v>39</v>
      </c>
      <c r="D16">
        <v>28</v>
      </c>
      <c r="E16" t="s">
        <v>21</v>
      </c>
    </row>
    <row r="17" spans="1:13">
      <c r="C17" s="12" t="s">
        <v>98</v>
      </c>
      <c r="D17" s="129">
        <v>0.01</v>
      </c>
      <c r="E17">
        <v>1.01</v>
      </c>
    </row>
    <row r="18" spans="1:13" ht="15">
      <c r="A18" s="110" t="s">
        <v>1</v>
      </c>
      <c r="B18" s="2" t="s">
        <v>33</v>
      </c>
      <c r="C18" s="2" t="s">
        <v>35</v>
      </c>
      <c r="D18" s="2" t="s">
        <v>36</v>
      </c>
      <c r="E18" s="2" t="s">
        <v>37</v>
      </c>
      <c r="G18" s="177" t="s">
        <v>1</v>
      </c>
      <c r="H18" s="111" t="s">
        <v>92</v>
      </c>
      <c r="I18" s="100"/>
      <c r="J18" s="177" t="s">
        <v>1</v>
      </c>
      <c r="K18" s="111" t="s">
        <v>89</v>
      </c>
    </row>
    <row r="19" spans="1:13">
      <c r="A19" s="14"/>
      <c r="B19" s="3" t="s">
        <v>34</v>
      </c>
      <c r="C19" s="3" t="s">
        <v>122</v>
      </c>
      <c r="D19" s="3" t="s">
        <v>123</v>
      </c>
      <c r="E19" s="3" t="s">
        <v>38</v>
      </c>
      <c r="F19" s="8"/>
      <c r="G19" s="177"/>
      <c r="H19" s="112" t="s">
        <v>88</v>
      </c>
      <c r="I19" s="101"/>
      <c r="J19" s="177"/>
      <c r="K19" s="112" t="s">
        <v>90</v>
      </c>
      <c r="L19" s="8"/>
    </row>
    <row r="20" spans="1:13">
      <c r="A20" s="97">
        <v>44136</v>
      </c>
      <c r="B20" s="39">
        <f>'[28]ML 2020'!$D$20*E17</f>
        <v>355040.38786500011</v>
      </c>
      <c r="C20" s="37">
        <f>$J$6%*$N$6%*B20</f>
        <v>1560.6403620020792</v>
      </c>
      <c r="D20" s="37">
        <f>($J$6%*$R$6%*$D$16)*B20</f>
        <v>47.486858510449515</v>
      </c>
      <c r="E20" s="37">
        <f>C20+D20</f>
        <v>1608.1272205125288</v>
      </c>
      <c r="F20" s="8"/>
      <c r="G20" s="60">
        <v>44155</v>
      </c>
      <c r="H20" s="105">
        <f>C20/B20</f>
        <v>4.395669944444445E-3</v>
      </c>
      <c r="I20" s="99"/>
      <c r="J20" s="60">
        <v>44155</v>
      </c>
      <c r="K20" s="108">
        <f>D20/B20</f>
        <v>1.3375058200000003E-4</v>
      </c>
      <c r="L20" s="8"/>
    </row>
    <row r="21" spans="1:13">
      <c r="A21" s="81">
        <v>44166</v>
      </c>
      <c r="B21" s="86">
        <f>'[28]ML 2020'!$D$21*E17</f>
        <v>360201.95802000002</v>
      </c>
      <c r="C21" s="37">
        <f>$J$6%*$N$6%*B21</f>
        <v>1583.3289207985538</v>
      </c>
      <c r="D21" s="37">
        <f>($J$6%*$R$6%*$D$16)*B21</f>
        <v>48.177221522714582</v>
      </c>
      <c r="E21" s="37">
        <f t="shared" ref="E21:E46" si="5">C21+D21</f>
        <v>1631.5061423212683</v>
      </c>
      <c r="F21" s="82"/>
      <c r="G21" s="60">
        <v>44229</v>
      </c>
      <c r="H21" s="105">
        <f>C23/B23</f>
        <v>4.121204666666667E-3</v>
      </c>
      <c r="I21" s="99"/>
      <c r="J21" s="60">
        <v>44229</v>
      </c>
      <c r="K21" s="108">
        <f>D23/B23</f>
        <v>1.3636317333333336E-4</v>
      </c>
      <c r="L21" s="82"/>
      <c r="M21" s="82"/>
    </row>
    <row r="22" spans="1:13">
      <c r="A22" s="81">
        <v>44197</v>
      </c>
      <c r="B22" s="87">
        <f>'[29]ML 2021'!$D$10*E17</f>
        <v>397142.06364000007</v>
      </c>
      <c r="C22" s="37">
        <f>$J$6%*$N$6%*B22</f>
        <v>1745.7054328169913</v>
      </c>
      <c r="D22" s="37">
        <f>($J$6%*$R$6%*$D$16)*B22</f>
        <v>53.117982148531063</v>
      </c>
      <c r="E22" s="38">
        <f t="shared" si="5"/>
        <v>1798.8234149655225</v>
      </c>
      <c r="G22" s="60">
        <v>44338</v>
      </c>
      <c r="H22" s="105">
        <f>C26/B26</f>
        <v>4.536464166666667E-3</v>
      </c>
      <c r="I22" s="99"/>
      <c r="J22" s="60">
        <v>44338</v>
      </c>
      <c r="K22" s="108">
        <f>D26/B26</f>
        <v>1.5034214222222226E-4</v>
      </c>
    </row>
    <row r="23" spans="1:13">
      <c r="A23" s="102">
        <v>44228</v>
      </c>
      <c r="B23" s="95">
        <f>'[29]ML 2021'!$D$11*E17</f>
        <v>360812.44423799991</v>
      </c>
      <c r="C23" s="103">
        <f>$J$7%*$N$7%*B23</f>
        <v>1486.9819289850518</v>
      </c>
      <c r="D23" s="103">
        <f>($J$7%*$R$7%*$D$16)*B23</f>
        <v>49.20152987445006</v>
      </c>
      <c r="E23" s="104">
        <f t="shared" si="5"/>
        <v>1536.1834588595018</v>
      </c>
      <c r="G23" s="60">
        <v>44431</v>
      </c>
      <c r="H23" s="105">
        <f>C29/B29</f>
        <v>3.7461172222222217E-3</v>
      </c>
      <c r="I23" s="99"/>
      <c r="J23" s="60">
        <v>44431</v>
      </c>
      <c r="K23" s="108">
        <f>D29/B29</f>
        <v>1.4730219777777778E-4</v>
      </c>
    </row>
    <row r="24" spans="1:13">
      <c r="A24" s="102">
        <v>44256</v>
      </c>
      <c r="B24" s="95">
        <f>'[29]ML 2021'!$D$12*E17</f>
        <v>411405.95074500004</v>
      </c>
      <c r="C24" s="103">
        <f>$J$7%*$N$7%*B24</f>
        <v>1695.488124104731</v>
      </c>
      <c r="D24" s="103">
        <f>($J$7%*$R$7%*$D$16)*B24</f>
        <v>56.100620971805249</v>
      </c>
      <c r="E24" s="104">
        <f t="shared" si="5"/>
        <v>1751.5887450765363</v>
      </c>
      <c r="G24" s="81">
        <v>44531</v>
      </c>
      <c r="H24" s="105">
        <f>C33/B33</f>
        <v>3.9649259999999997E-3</v>
      </c>
      <c r="J24" s="81">
        <v>44531</v>
      </c>
      <c r="K24" s="108">
        <f>D33/B33</f>
        <v>1.15357648E-4</v>
      </c>
    </row>
    <row r="25" spans="1:13">
      <c r="A25" s="102">
        <v>44287</v>
      </c>
      <c r="B25" s="95">
        <f>'[29]ML 2021'!$D$13*E17</f>
        <v>387237.64872600004</v>
      </c>
      <c r="C25" s="103">
        <f>$J$7%*$N$7%*B25</f>
        <v>1595.8856050386189</v>
      </c>
      <c r="D25" s="103">
        <f>($J$7%*$R$7%*$D$16)*B25</f>
        <v>52.804954614415998</v>
      </c>
      <c r="E25" s="104">
        <f t="shared" si="5"/>
        <v>1648.6905596530348</v>
      </c>
      <c r="G25" s="81">
        <v>44621</v>
      </c>
      <c r="H25" s="105">
        <f>C36/B36</f>
        <v>3.5979155555555561E-3</v>
      </c>
      <c r="J25" s="81">
        <v>44621</v>
      </c>
      <c r="K25" s="108">
        <f>D36/B36</f>
        <v>1.0986080000000001E-4</v>
      </c>
    </row>
    <row r="26" spans="1:13">
      <c r="A26" s="81">
        <v>44317</v>
      </c>
      <c r="B26" s="87">
        <f>'[29]ML 2021'!$D$14*E17</f>
        <v>405075.40380240011</v>
      </c>
      <c r="C26" s="72">
        <f>$J$8%*$N$8%*B26</f>
        <v>1837.6100541476187</v>
      </c>
      <c r="D26" s="72">
        <f>($J$8%*$R$8%*$D$16)*B26</f>
        <v>60.89990396918455</v>
      </c>
      <c r="E26" s="38">
        <f t="shared" si="5"/>
        <v>1898.5099581168033</v>
      </c>
      <c r="G26" s="81">
        <v>44682</v>
      </c>
      <c r="H26" s="105">
        <f>C38/B38</f>
        <v>3.7774000000000002E-3</v>
      </c>
      <c r="J26" s="81">
        <v>44682</v>
      </c>
      <c r="K26" s="108">
        <f>D38/B38</f>
        <v>1.1764479999999999E-4</v>
      </c>
    </row>
    <row r="27" spans="1:13">
      <c r="A27" s="81">
        <v>44348</v>
      </c>
      <c r="B27" s="87">
        <f>'[29]ML 2021'!$D$15*E17</f>
        <v>394264.80048600002</v>
      </c>
      <c r="C27" s="72">
        <f>$J$8%*$N$8%*B27</f>
        <v>1788.5681395827219</v>
      </c>
      <c r="D27" s="72">
        <f>($J$8%*$R$8%*$D$16)*B27</f>
        <v>59.2746147078823</v>
      </c>
      <c r="E27" s="38">
        <f t="shared" si="5"/>
        <v>1847.8427542906043</v>
      </c>
      <c r="G27" s="81">
        <v>44774</v>
      </c>
      <c r="H27" s="105">
        <f>C41/B41</f>
        <v>3.6869911111111105E-3</v>
      </c>
      <c r="J27" s="81">
        <v>44774</v>
      </c>
      <c r="K27" s="108">
        <f>D41/B41</f>
        <v>1.2091006666666666E-4</v>
      </c>
    </row>
    <row r="28" spans="1:13">
      <c r="A28" s="81">
        <v>44378</v>
      </c>
      <c r="B28" s="87">
        <f>'[29]ML 2021'!$D$16*E17</f>
        <v>405557.93469600007</v>
      </c>
      <c r="C28" s="72">
        <f>$J$8%*$N$8%*B28</f>
        <v>1839.7990382557446</v>
      </c>
      <c r="D28" s="72">
        <f>($J$8%*$R$8%*$D$16)*B28</f>
        <v>60.972448697416766</v>
      </c>
      <c r="E28" s="38">
        <f t="shared" si="5"/>
        <v>1900.7714869531612</v>
      </c>
      <c r="G28" s="81">
        <v>44866</v>
      </c>
      <c r="H28" s="105">
        <f>C44/B44</f>
        <v>3.8521999999999992E-3</v>
      </c>
      <c r="J28" s="81">
        <v>44866</v>
      </c>
      <c r="K28" s="108">
        <f>D44/B44</f>
        <v>1.1747493333333332E-4</v>
      </c>
    </row>
    <row r="29" spans="1:13">
      <c r="A29" s="102">
        <v>44409</v>
      </c>
      <c r="B29" s="95">
        <f>'[29]ML 2021'!$D$17*E17</f>
        <v>407086.41455999995</v>
      </c>
      <c r="C29" s="103">
        <f>$J$9%*$N$9%*B29</f>
        <v>1524.9934285159109</v>
      </c>
      <c r="D29" s="103">
        <f>($J$9%*$R$9%*$D$16)*B29</f>
        <v>59.964723550163548</v>
      </c>
      <c r="E29" s="104">
        <f t="shared" si="5"/>
        <v>1584.9581520660745</v>
      </c>
      <c r="H29" s="127"/>
    </row>
    <row r="30" spans="1:13">
      <c r="A30" s="102">
        <v>44440</v>
      </c>
      <c r="B30" s="95">
        <f>'[29]ML 2021'!$D$18*E17</f>
        <v>392253.85705499997</v>
      </c>
      <c r="C30" s="103">
        <f>$J$9%*$N$9%*B30</f>
        <v>1469.4289293968291</v>
      </c>
      <c r="D30" s="103">
        <f>($J$9%*$R$9%*$D$16)*B30</f>
        <v>57.77985523101178</v>
      </c>
      <c r="E30" s="104">
        <f t="shared" si="5"/>
        <v>1527.2087846278409</v>
      </c>
    </row>
    <row r="31" spans="1:13">
      <c r="A31" s="102">
        <v>44470</v>
      </c>
      <c r="B31" s="95">
        <f>'[29]ML 2021'!$D$19*E17</f>
        <v>213053.12801829536</v>
      </c>
      <c r="C31" s="103">
        <f>$J$9%*$N$9%*B31</f>
        <v>798.1219921176521</v>
      </c>
      <c r="D31" s="103">
        <f>($J$9%*$R$9%*$D$16)*B31</f>
        <v>31.383194000525151</v>
      </c>
      <c r="E31" s="104">
        <f t="shared" si="5"/>
        <v>829.50518611817722</v>
      </c>
    </row>
    <row r="32" spans="1:13">
      <c r="A32" s="102">
        <v>44501</v>
      </c>
      <c r="B32" s="95">
        <f>'[30]ML 2021'!$D$20*E17</f>
        <v>391259.85101100005</v>
      </c>
      <c r="C32" s="103">
        <f>$J$9%*$N$9%*B32</f>
        <v>1465.7052662364081</v>
      </c>
      <c r="D32" s="103">
        <f>($J$9%*$R$9%*$D$16)*B32</f>
        <v>57.633435956126199</v>
      </c>
      <c r="E32" s="104">
        <f t="shared" si="5"/>
        <v>1523.3387021925344</v>
      </c>
    </row>
    <row r="33" spans="1:6">
      <c r="A33" s="81">
        <v>44531</v>
      </c>
      <c r="B33" s="87">
        <f>'[30]ML 2021'!$D$21*E17</f>
        <v>413594.79152955324</v>
      </c>
      <c r="C33" s="72">
        <f>$J$10%*$N$10%*B33</f>
        <v>1639.8727424001054</v>
      </c>
      <c r="D33" s="72">
        <f>($J$10%*$R$10%*$D$16)*B33</f>
        <v>47.711322375899584</v>
      </c>
      <c r="E33" s="73">
        <f t="shared" si="5"/>
        <v>1687.5840647760049</v>
      </c>
      <c r="F33" s="82"/>
    </row>
    <row r="34" spans="1:6">
      <c r="A34" s="81">
        <v>44562</v>
      </c>
      <c r="B34" s="87">
        <f>'[31]ML 2022'!$J$10*E17</f>
        <v>396090.46385885106</v>
      </c>
      <c r="C34" s="72">
        <f>$J$10%*$N$10%*B34</f>
        <v>1570.4693785060188</v>
      </c>
      <c r="D34" s="72">
        <f>($J$10%*$R$10%*$D$16)*B34</f>
        <v>45.692064305986065</v>
      </c>
      <c r="E34" s="73">
        <f t="shared" si="5"/>
        <v>1616.1614428120049</v>
      </c>
    </row>
    <row r="35" spans="1:6">
      <c r="A35" s="81">
        <v>44593</v>
      </c>
      <c r="B35" s="96">
        <f>'[31]ML 2022'!$J$11*E17</f>
        <v>366734.05019999994</v>
      </c>
      <c r="C35" s="72">
        <f>$J$10%*$N$10%*B35</f>
        <v>1454.0733707232848</v>
      </c>
      <c r="D35" s="72">
        <f>($J$10%*$R$10%*$D$16)*B35</f>
        <v>42.305577472585924</v>
      </c>
      <c r="E35" s="73">
        <f t="shared" si="5"/>
        <v>1496.3789481958706</v>
      </c>
    </row>
    <row r="36" spans="1:6">
      <c r="A36" s="102">
        <v>44621</v>
      </c>
      <c r="B36" s="95">
        <f>'[31]ML 2022'!$J$12*E17</f>
        <v>415370.78200000001</v>
      </c>
      <c r="C36" s="103">
        <f>$J$11%*$N$11%*B36</f>
        <v>1494.4689978810759</v>
      </c>
      <c r="D36" s="103">
        <f>($J$11%*$R$11%*$D$16)*B36</f>
        <v>45.632966407145602</v>
      </c>
      <c r="E36" s="104">
        <f t="shared" si="5"/>
        <v>1540.1019642882216</v>
      </c>
    </row>
    <row r="37" spans="1:6">
      <c r="A37" s="102">
        <v>44652</v>
      </c>
      <c r="B37" s="95">
        <f>'[31]ML 2022'!$J$13*E17</f>
        <v>400334.55917476595</v>
      </c>
      <c r="C37" s="103">
        <f>$J$11%*$N$11%*B37</f>
        <v>1440.3699378813669</v>
      </c>
      <c r="D37" s="103">
        <f>($J$11%*$R$11%*$D$16)*B37</f>
        <v>43.981074938587128</v>
      </c>
      <c r="E37" s="104">
        <f t="shared" si="5"/>
        <v>1484.3510128199541</v>
      </c>
    </row>
    <row r="38" spans="1:6">
      <c r="A38" s="81">
        <v>44682</v>
      </c>
      <c r="B38" s="87">
        <f>'[31]ML 2022'!$J$14*E17</f>
        <v>408402.1664532767</v>
      </c>
      <c r="C38" s="72">
        <f>$J$12%*$N$12%*B38</f>
        <v>1542.6983435606076</v>
      </c>
      <c r="D38" s="72">
        <f>($J$12%*$R$12%*$D$16)*B38</f>
        <v>48.046391191962442</v>
      </c>
      <c r="E38" s="73">
        <f t="shared" si="5"/>
        <v>1590.7447347525699</v>
      </c>
    </row>
    <row r="39" spans="1:6">
      <c r="A39" s="81">
        <v>44713</v>
      </c>
      <c r="B39" s="96">
        <f>'[31]ML 2022'!$J$15*E17</f>
        <v>388211.53875472344</v>
      </c>
      <c r="C39" s="72">
        <f>$J$12%*$N$12%*B39</f>
        <v>1466.4302664920924</v>
      </c>
      <c r="D39" s="72">
        <f>($J$12%*$R$12%*$D$16)*B39</f>
        <v>45.671068834491685</v>
      </c>
      <c r="E39" s="73">
        <f t="shared" si="5"/>
        <v>1512.1013353265841</v>
      </c>
    </row>
    <row r="40" spans="1:6">
      <c r="A40" s="81">
        <v>44743</v>
      </c>
      <c r="B40" s="87">
        <f>'[31]ML 2022'!$J$16*E17</f>
        <v>398697.7121</v>
      </c>
      <c r="C40" s="72">
        <f>$J$12%*$N$12%*B40</f>
        <v>1506.0407376865401</v>
      </c>
      <c r="D40" s="72">
        <f>($J$12%*$R$12%*$D$16)*B40</f>
        <v>46.904712600462076</v>
      </c>
      <c r="E40" s="73">
        <f t="shared" si="5"/>
        <v>1552.9454502870021</v>
      </c>
    </row>
    <row r="41" spans="1:6">
      <c r="A41" s="102">
        <v>44774</v>
      </c>
      <c r="B41" s="95">
        <f>'[31]ML 2022'!$J$17*E17</f>
        <v>412384.15048823721</v>
      </c>
      <c r="C41" s="103">
        <f>$J$13%*$N$13%*B41</f>
        <v>1520.456697213237</v>
      </c>
      <c r="D41" s="103">
        <f>($J$13%*$R$13%*$D$16)*B41</f>
        <v>49.861395127809459</v>
      </c>
      <c r="E41" s="104">
        <f t="shared" si="5"/>
        <v>1570.3180923410464</v>
      </c>
    </row>
    <row r="42" spans="1:6">
      <c r="A42" s="102">
        <v>44805</v>
      </c>
      <c r="B42" s="95">
        <f>'[31]ML 2022'!$J$18*E17</f>
        <v>401479.66619999998</v>
      </c>
      <c r="C42" s="103">
        <f>$J$13%*$N$13%*B42</f>
        <v>1480.2519605712557</v>
      </c>
      <c r="D42" s="103">
        <f>($J$13%*$R$13%*$D$16)*B42</f>
        <v>48.542933205553076</v>
      </c>
      <c r="E42" s="104">
        <f t="shared" si="5"/>
        <v>1528.7948937768087</v>
      </c>
    </row>
    <row r="43" spans="1:6">
      <c r="A43" s="102">
        <v>44835</v>
      </c>
      <c r="B43" s="95">
        <f>'[31]ML 2022'!$J$19*E17</f>
        <v>404119.22952868097</v>
      </c>
      <c r="C43" s="103">
        <f>$J$13%*$N$13%*B43</f>
        <v>1489.9840071013173</v>
      </c>
      <c r="D43" s="103">
        <f>($J$13%*$R$13%*$D$16)*B43</f>
        <v>48.862082983594782</v>
      </c>
      <c r="E43" s="104">
        <f t="shared" si="5"/>
        <v>1538.846090084912</v>
      </c>
    </row>
    <row r="44" spans="1:6">
      <c r="A44" s="81">
        <v>44866</v>
      </c>
      <c r="B44" s="87">
        <f>'[31]ML 2022'!$J$20*E17</f>
        <v>396659.32</v>
      </c>
      <c r="C44" s="72">
        <f>$J$14%*$N$14%*B44</f>
        <v>1528.0110325039998</v>
      </c>
      <c r="D44" s="72">
        <f>($J$14%*$R$14%*$D$16)*B44</f>
        <v>46.597527173045329</v>
      </c>
      <c r="E44" s="73">
        <f t="shared" si="5"/>
        <v>1574.6085596770452</v>
      </c>
    </row>
    <row r="45" spans="1:6">
      <c r="A45" s="81">
        <v>44896</v>
      </c>
      <c r="B45" s="96">
        <f>'[31]ML 2022'!$J$21*E17</f>
        <v>377538.56078208511</v>
      </c>
      <c r="C45" s="72">
        <f>$J$14%*$N$14%*B45</f>
        <v>1454.354043844748</v>
      </c>
      <c r="D45" s="72">
        <f>($J$14%*$R$14%*$D$16)*B45</f>
        <v>44.351317258638055</v>
      </c>
      <c r="E45" s="73">
        <f t="shared" si="5"/>
        <v>1498.7053611033862</v>
      </c>
      <c r="F45" s="82"/>
    </row>
    <row r="46" spans="1:6">
      <c r="A46" s="81">
        <v>44927</v>
      </c>
      <c r="B46" s="96">
        <f>'[32]ML 2023'!$D$10*E17</f>
        <v>407993.21345831396</v>
      </c>
      <c r="C46" s="72">
        <f>$J$14%*$N$14%*B46</f>
        <v>1571.6714568841169</v>
      </c>
      <c r="D46" s="72">
        <f>($J$14%*$R$14%*$D$16)*B46</f>
        <v>47.928975551467857</v>
      </c>
      <c r="E46" s="73">
        <f t="shared" si="5"/>
        <v>1619.6004324355847</v>
      </c>
    </row>
    <row r="47" spans="1:6">
      <c r="A47" s="17" t="s">
        <v>8</v>
      </c>
      <c r="B47" s="39">
        <f>SUM(B20:B46)</f>
        <v>10468002.047391182</v>
      </c>
      <c r="C47" s="38">
        <f>SUM(C20:C46)</f>
        <v>41551.410195248674</v>
      </c>
      <c r="D47" s="38">
        <f>SUM(D20:D46)</f>
        <v>1346.8867531819055</v>
      </c>
      <c r="E47" s="38">
        <f>SUM(E20:E46)</f>
        <v>42898.296948430572</v>
      </c>
    </row>
    <row r="48" spans="1:6">
      <c r="E48" s="126"/>
    </row>
  </sheetData>
  <mergeCells count="20">
    <mergeCell ref="A2:A5"/>
    <mergeCell ref="N2:N5"/>
    <mergeCell ref="K2:M2"/>
    <mergeCell ref="K3:M3"/>
    <mergeCell ref="B3:D3"/>
    <mergeCell ref="F3:H3"/>
    <mergeCell ref="B4:D4"/>
    <mergeCell ref="F4:H4"/>
    <mergeCell ref="B2:D2"/>
    <mergeCell ref="E2:E5"/>
    <mergeCell ref="F2:H2"/>
    <mergeCell ref="K4:M4"/>
    <mergeCell ref="O3:Q3"/>
    <mergeCell ref="O4:Q4"/>
    <mergeCell ref="O2:Q2"/>
    <mergeCell ref="R2:R5"/>
    <mergeCell ref="G18:G19"/>
    <mergeCell ref="I2:I5"/>
    <mergeCell ref="J2:J5"/>
    <mergeCell ref="J18:J19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E706-F381-4D83-811A-5BCE9DC8DC5E}">
  <dimension ref="A2:I7"/>
  <sheetViews>
    <sheetView zoomScale="80" zoomScaleNormal="80" workbookViewId="0">
      <selection activeCell="G12" sqref="G12"/>
    </sheetView>
  </sheetViews>
  <sheetFormatPr defaultRowHeight="14.5"/>
  <cols>
    <col min="1" max="1" width="19.81640625" customWidth="1"/>
    <col min="2" max="2" width="11.90625" customWidth="1"/>
    <col min="4" max="4" width="25.7265625" customWidth="1"/>
    <col min="5" max="5" width="9.36328125" bestFit="1" customWidth="1"/>
    <col min="7" max="7" width="25.453125" customWidth="1"/>
    <col min="8" max="8" width="21.7265625" customWidth="1"/>
  </cols>
  <sheetData>
    <row r="2" spans="1:9" ht="15.5">
      <c r="A2" s="110" t="s">
        <v>1</v>
      </c>
      <c r="B2" s="2" t="s">
        <v>33</v>
      </c>
      <c r="D2" s="185" t="s">
        <v>1</v>
      </c>
      <c r="E2" s="116" t="s">
        <v>96</v>
      </c>
      <c r="G2" s="185" t="s">
        <v>1</v>
      </c>
      <c r="H2" s="121" t="s">
        <v>2</v>
      </c>
      <c r="I2" s="119"/>
    </row>
    <row r="3" spans="1:9">
      <c r="A3" s="113"/>
      <c r="B3" s="3" t="s">
        <v>34</v>
      </c>
      <c r="D3" s="186"/>
      <c r="E3" s="116" t="s">
        <v>97</v>
      </c>
      <c r="G3" s="186"/>
      <c r="H3" s="121" t="s">
        <v>3</v>
      </c>
      <c r="I3" s="120"/>
    </row>
    <row r="4" spans="1:9">
      <c r="A4" s="114" t="s">
        <v>93</v>
      </c>
      <c r="B4" s="115">
        <f>'2a NCG'!B20+'2a NCG'!B21</f>
        <v>715242.34588500019</v>
      </c>
      <c r="D4" s="117" t="s">
        <v>93</v>
      </c>
      <c r="E4" s="118">
        <f>'2b Diesel'!C14+'2b Diesel'!C15</f>
        <v>0.11216900194499999</v>
      </c>
      <c r="G4" s="117" t="s">
        <v>93</v>
      </c>
      <c r="H4" s="38">
        <f>'1 Electricity Generation'!H9+'1 Electricity Generation'!H10</f>
        <v>109466.00200123581</v>
      </c>
    </row>
    <row r="5" spans="1:9">
      <c r="A5" s="114" t="s">
        <v>94</v>
      </c>
      <c r="B5" s="115">
        <f>SUM('2a NCG'!B22:B33)</f>
        <v>4578744.2885072483</v>
      </c>
      <c r="D5" s="117" t="s">
        <v>94</v>
      </c>
      <c r="E5" s="118">
        <f>SUM('2b Diesel'!C16:C27)</f>
        <v>44.631848160899999</v>
      </c>
      <c r="G5" s="117" t="s">
        <v>94</v>
      </c>
      <c r="H5" s="38">
        <f>SUM('1 Electricity Generation'!H11:H22)</f>
        <v>702971.40032614453</v>
      </c>
    </row>
    <row r="6" spans="1:9">
      <c r="A6" s="114" t="s">
        <v>95</v>
      </c>
      <c r="B6" s="115">
        <f>SUM('2a NCG'!B34:B45)</f>
        <v>4766022.1995406207</v>
      </c>
      <c r="D6" s="117" t="s">
        <v>95</v>
      </c>
      <c r="E6" s="118">
        <f>SUM('2b Diesel'!C28:C40)</f>
        <v>3.0865912076999993</v>
      </c>
      <c r="G6" s="117" t="s">
        <v>95</v>
      </c>
      <c r="H6" s="38">
        <f>SUM('1 Electricity Generation'!I23:I34)</f>
        <v>723884.65000000014</v>
      </c>
    </row>
    <row r="7" spans="1:9">
      <c r="A7" s="114" t="s">
        <v>85</v>
      </c>
      <c r="B7" s="115">
        <f>'2a NCG'!B46</f>
        <v>407993.21345831396</v>
      </c>
      <c r="D7" s="117" t="s">
        <v>85</v>
      </c>
      <c r="E7" s="118">
        <f>'2b Diesel'!C40</f>
        <v>9.4962367499999992E-2</v>
      </c>
      <c r="G7" s="117" t="s">
        <v>85</v>
      </c>
      <c r="H7" s="38">
        <f>'1 Electricity Generation'!I35</f>
        <v>62429.120000000003</v>
      </c>
    </row>
  </sheetData>
  <mergeCells count="2">
    <mergeCell ref="D2:D3"/>
    <mergeCell ref="G2:G3"/>
  </mergeCells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0210-5B2F-4BE3-AB41-A828F52F96A2}">
  <sheetPr>
    <tabColor theme="1" tint="0.14999847407452621"/>
  </sheetPr>
  <dimension ref="A1:C41"/>
  <sheetViews>
    <sheetView zoomScale="60" zoomScaleNormal="60" workbookViewId="0">
      <selection activeCell="C41" sqref="C41"/>
    </sheetView>
  </sheetViews>
  <sheetFormatPr defaultRowHeight="14.5"/>
  <cols>
    <col min="1" max="1" width="21.81640625" customWidth="1"/>
    <col min="2" max="2" width="22.26953125" customWidth="1"/>
    <col min="3" max="3" width="15.36328125" customWidth="1"/>
  </cols>
  <sheetData>
    <row r="1" spans="1:3">
      <c r="A1" s="11" t="s">
        <v>10</v>
      </c>
    </row>
    <row r="4" spans="1:3">
      <c r="A4" s="10" t="s">
        <v>12</v>
      </c>
      <c r="B4" s="10"/>
      <c r="C4" s="10"/>
    </row>
    <row r="9" spans="1:3" ht="16">
      <c r="A9" s="9" t="s">
        <v>15</v>
      </c>
      <c r="B9" s="13" t="s">
        <v>17</v>
      </c>
    </row>
    <row r="10" spans="1:3">
      <c r="A10" s="12" t="s">
        <v>16</v>
      </c>
      <c r="B10" s="8">
        <v>2.73</v>
      </c>
      <c r="C10" t="s">
        <v>18</v>
      </c>
    </row>
    <row r="11" spans="1:3">
      <c r="A11" s="189" t="s">
        <v>91</v>
      </c>
      <c r="B11" s="189"/>
      <c r="C11" s="55">
        <v>1E-3</v>
      </c>
    </row>
    <row r="12" spans="1:3" ht="15">
      <c r="A12" s="187" t="s">
        <v>1</v>
      </c>
      <c r="B12" s="29" t="s">
        <v>13</v>
      </c>
      <c r="C12" s="29" t="s">
        <v>32</v>
      </c>
    </row>
    <row r="13" spans="1:3">
      <c r="A13" s="188"/>
      <c r="B13" s="29" t="s">
        <v>14</v>
      </c>
      <c r="C13" s="29" t="s">
        <v>40</v>
      </c>
    </row>
    <row r="14" spans="1:3">
      <c r="A14" s="97">
        <v>44136</v>
      </c>
      <c r="B14" s="106">
        <f>0.0101465*(1+C11)</f>
        <v>1.0156646499999998E-2</v>
      </c>
      <c r="C14" s="31">
        <f>B14*$B$10</f>
        <v>2.7727644944999994E-2</v>
      </c>
    </row>
    <row r="15" spans="1:3">
      <c r="A15" s="81">
        <v>44166</v>
      </c>
      <c r="B15" s="106">
        <f>0.0309*(1+C11)</f>
        <v>3.0930899999999997E-2</v>
      </c>
      <c r="C15" s="31">
        <f t="shared" ref="C15:C39" si="0">B15*$B$10</f>
        <v>8.4441356999999995E-2</v>
      </c>
    </row>
    <row r="16" spans="1:3">
      <c r="A16" s="81">
        <v>44197</v>
      </c>
      <c r="B16" s="106">
        <f>0.38448*(1+C11)</f>
        <v>0.38486447999999995</v>
      </c>
      <c r="C16" s="31">
        <f t="shared" si="0"/>
        <v>1.0506800303999999</v>
      </c>
    </row>
    <row r="17" spans="1:3">
      <c r="A17" s="98">
        <v>44228</v>
      </c>
      <c r="B17" s="106">
        <f>0.02812*(1+C11)</f>
        <v>2.8148119999999995E-2</v>
      </c>
      <c r="C17" s="31">
        <f>B17*$B$10</f>
        <v>7.6844367599999991E-2</v>
      </c>
    </row>
    <row r="18" spans="1:3">
      <c r="A18" s="98">
        <v>44256</v>
      </c>
      <c r="B18" s="106">
        <f>0.02851*(1+C11)</f>
        <v>2.8538509999999996E-2</v>
      </c>
      <c r="C18" s="31">
        <f t="shared" si="0"/>
        <v>7.791013229999999E-2</v>
      </c>
    </row>
    <row r="19" spans="1:3">
      <c r="A19" s="98">
        <v>44287</v>
      </c>
      <c r="B19" s="106">
        <f>0.01647*(1+C11)</f>
        <v>1.6486469999999996E-2</v>
      </c>
      <c r="C19" s="31">
        <f t="shared" si="0"/>
        <v>4.5008063099999988E-2</v>
      </c>
    </row>
    <row r="20" spans="1:3">
      <c r="A20" s="98">
        <v>44317</v>
      </c>
      <c r="B20" s="106">
        <f>0.171058*(1+C11)</f>
        <v>0.17122905799999996</v>
      </c>
      <c r="C20" s="31">
        <f t="shared" si="0"/>
        <v>0.46745532833999992</v>
      </c>
    </row>
    <row r="21" spans="1:3">
      <c r="A21" s="98">
        <v>44348</v>
      </c>
      <c r="B21" s="106">
        <f>0.031349*(1+C11)</f>
        <v>3.1380349000000002E-2</v>
      </c>
      <c r="C21" s="31">
        <f t="shared" si="0"/>
        <v>8.5668352770000011E-2</v>
      </c>
    </row>
    <row r="22" spans="1:3">
      <c r="A22" s="98">
        <v>44378</v>
      </c>
      <c r="B22" s="106">
        <f>0.028037*(1+C11)</f>
        <v>2.8065036999999998E-2</v>
      </c>
      <c r="C22" s="31">
        <f t="shared" si="0"/>
        <v>7.6617551009999993E-2</v>
      </c>
    </row>
    <row r="23" spans="1:3">
      <c r="A23" s="98">
        <v>44409</v>
      </c>
      <c r="B23" s="106">
        <f>0.028598*(1+C11)</f>
        <v>2.8626597999999996E-2</v>
      </c>
      <c r="C23" s="31">
        <f t="shared" si="0"/>
        <v>7.8150612539999983E-2</v>
      </c>
    </row>
    <row r="24" spans="1:3">
      <c r="A24" s="98">
        <v>44440</v>
      </c>
      <c r="B24" s="106">
        <f>0.015941*(1+C11)</f>
        <v>1.5956940999999999E-2</v>
      </c>
      <c r="C24" s="31">
        <f t="shared" si="0"/>
        <v>4.3562448929999997E-2</v>
      </c>
    </row>
    <row r="25" spans="1:3">
      <c r="A25" s="98">
        <v>44470</v>
      </c>
      <c r="B25" s="106">
        <f>15.569037*(1+C11)</f>
        <v>15.584606036999999</v>
      </c>
      <c r="C25" s="31">
        <f t="shared" si="0"/>
        <v>42.545974481009999</v>
      </c>
    </row>
    <row r="26" spans="1:3">
      <c r="A26" s="98">
        <v>44501</v>
      </c>
      <c r="B26" s="107">
        <f>0.02073*(1+C11)</f>
        <v>2.0750729999999995E-2</v>
      </c>
      <c r="C26" s="31">
        <f t="shared" si="0"/>
        <v>5.6649492899999987E-2</v>
      </c>
    </row>
    <row r="27" spans="1:3">
      <c r="A27" s="98">
        <v>44531</v>
      </c>
      <c r="B27" s="107">
        <f>0.01*(1+C11)</f>
        <v>1.001E-2</v>
      </c>
      <c r="C27" s="31">
        <f t="shared" si="0"/>
        <v>2.7327299999999999E-2</v>
      </c>
    </row>
    <row r="28" spans="1:3">
      <c r="A28" s="98">
        <v>44562</v>
      </c>
      <c r="B28" s="107">
        <f>0.01718*(1+C11)</f>
        <v>1.7197179999999999E-2</v>
      </c>
      <c r="C28" s="31">
        <f t="shared" si="0"/>
        <v>4.6948301399999996E-2</v>
      </c>
    </row>
    <row r="29" spans="1:3">
      <c r="A29" s="98">
        <v>44593</v>
      </c>
      <c r="B29" s="107">
        <f>0.0129*(1+C11)</f>
        <v>1.2912899999999998E-2</v>
      </c>
      <c r="C29" s="31">
        <f t="shared" si="0"/>
        <v>3.5252216999999995E-2</v>
      </c>
    </row>
    <row r="30" spans="1:3">
      <c r="A30" s="98">
        <v>44621</v>
      </c>
      <c r="B30" s="107">
        <f>0.01902*(1+C11)</f>
        <v>1.9039019999999997E-2</v>
      </c>
      <c r="C30" s="31">
        <f t="shared" si="0"/>
        <v>5.197652459999999E-2</v>
      </c>
    </row>
    <row r="31" spans="1:3">
      <c r="A31" s="98">
        <v>44652</v>
      </c>
      <c r="B31" s="107">
        <f>0.09808*(1+C11)</f>
        <v>9.8178079999999987E-2</v>
      </c>
      <c r="C31" s="31">
        <f t="shared" si="0"/>
        <v>0.26802615839999994</v>
      </c>
    </row>
    <row r="32" spans="1:3">
      <c r="A32" s="98">
        <v>44682</v>
      </c>
      <c r="B32" s="107">
        <f>0.09566*(1+C11)</f>
        <v>9.5755659999999979E-2</v>
      </c>
      <c r="C32" s="31">
        <f t="shared" si="0"/>
        <v>0.26141295179999996</v>
      </c>
    </row>
    <row r="33" spans="1:3">
      <c r="A33" s="98">
        <v>44713</v>
      </c>
      <c r="B33" s="107">
        <f>0.0372*(1+C11)</f>
        <v>3.7237199999999991E-2</v>
      </c>
      <c r="C33" s="31">
        <f t="shared" si="0"/>
        <v>0.10165755599999997</v>
      </c>
    </row>
    <row r="34" spans="1:3">
      <c r="A34" s="98">
        <v>44743</v>
      </c>
      <c r="B34" s="107">
        <f>0.64982*(1+C11)</f>
        <v>0.65046981999999987</v>
      </c>
      <c r="C34" s="31">
        <f t="shared" si="0"/>
        <v>1.7757826085999997</v>
      </c>
    </row>
    <row r="35" spans="1:3">
      <c r="A35" s="98">
        <v>44774</v>
      </c>
      <c r="B35" s="107">
        <f>0.03437*(1+C11)</f>
        <v>3.4404369999999997E-2</v>
      </c>
      <c r="C35" s="31">
        <f t="shared" si="0"/>
        <v>9.3923930099999997E-2</v>
      </c>
    </row>
    <row r="36" spans="1:3">
      <c r="A36" s="98">
        <v>44805</v>
      </c>
      <c r="B36" s="107">
        <f>0.04887*(1+C11)</f>
        <v>4.8918869999999989E-2</v>
      </c>
      <c r="C36" s="31">
        <f t="shared" si="0"/>
        <v>0.13354851509999996</v>
      </c>
    </row>
    <row r="37" spans="1:3">
      <c r="A37" s="98">
        <v>44835</v>
      </c>
      <c r="B37" s="107">
        <f>0.01823*(1+C11)</f>
        <v>1.8248229999999997E-2</v>
      </c>
      <c r="C37" s="31">
        <f t="shared" si="0"/>
        <v>4.9817667899999994E-2</v>
      </c>
    </row>
    <row r="38" spans="1:3">
      <c r="A38" s="98">
        <v>44866</v>
      </c>
      <c r="B38" s="107">
        <f>0.02115*(1+C11)</f>
        <v>2.1171149999999996E-2</v>
      </c>
      <c r="C38" s="31">
        <f t="shared" si="0"/>
        <v>5.7797239499999986E-2</v>
      </c>
    </row>
    <row r="39" spans="1:3">
      <c r="A39" s="98">
        <v>44896</v>
      </c>
      <c r="B39" s="107">
        <f>0.04226*(1+C11)</f>
        <v>4.2302259999999994E-2</v>
      </c>
      <c r="C39" s="31">
        <f t="shared" si="0"/>
        <v>0.11548516979999998</v>
      </c>
    </row>
    <row r="40" spans="1:3">
      <c r="A40" s="98">
        <v>44927</v>
      </c>
      <c r="B40" s="107">
        <f>0.03475*(1+C11)</f>
        <v>3.4784749999999996E-2</v>
      </c>
      <c r="C40" s="31">
        <f>B40*$B$10</f>
        <v>9.4962367499999992E-2</v>
      </c>
    </row>
    <row r="41" spans="1:3">
      <c r="A41" s="17" t="s">
        <v>8</v>
      </c>
      <c r="B41" s="107">
        <f>SUM(B15:B40)</f>
        <v>17.510212720000002</v>
      </c>
      <c r="C41" s="31">
        <f>SUM(C14:C40)</f>
        <v>47.830608370545001</v>
      </c>
    </row>
  </sheetData>
  <mergeCells count="2">
    <mergeCell ref="A12:A13"/>
    <mergeCell ref="A11:B11"/>
  </mergeCells>
  <pageMargins left="0.7" right="0.7" top="0.75" bottom="0.75" header="0.3" footer="0.3"/>
  <pageSetup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F9" sqref="F9"/>
    </sheetView>
  </sheetViews>
  <sheetFormatPr defaultRowHeight="14.5"/>
  <cols>
    <col min="1" max="1" width="25.1796875" customWidth="1"/>
    <col min="2" max="2" width="25.26953125" customWidth="1"/>
    <col min="3" max="3" width="23.7265625" customWidth="1"/>
    <col min="4" max="4" width="17.81640625" customWidth="1"/>
    <col min="5" max="5" width="6" customWidth="1"/>
  </cols>
  <sheetData>
    <row r="1" spans="1:5" ht="15.5">
      <c r="A1" s="190" t="s">
        <v>22</v>
      </c>
      <c r="B1" s="190"/>
      <c r="C1" s="190"/>
      <c r="D1" s="190"/>
      <c r="E1" s="190"/>
    </row>
    <row r="2" spans="1:5">
      <c r="A2" s="21"/>
      <c r="B2" s="18" t="s">
        <v>23</v>
      </c>
      <c r="C2" s="18" t="s">
        <v>24</v>
      </c>
      <c r="D2" s="21"/>
      <c r="E2" s="22"/>
    </row>
    <row r="3" spans="1:5" ht="15" thickBot="1">
      <c r="A3" s="19" t="s">
        <v>25</v>
      </c>
      <c r="B3" s="68">
        <v>43841</v>
      </c>
      <c r="C3" s="49">
        <v>44957</v>
      </c>
      <c r="D3" s="48">
        <v>822</v>
      </c>
      <c r="E3" s="50" t="s">
        <v>26</v>
      </c>
    </row>
    <row r="4" spans="1:5" ht="36" customHeight="1">
      <c r="A4" s="193" t="s">
        <v>30</v>
      </c>
      <c r="B4" s="194"/>
      <c r="C4" s="191" t="s">
        <v>31</v>
      </c>
      <c r="D4" s="191" t="s">
        <v>27</v>
      </c>
      <c r="E4" s="20"/>
    </row>
    <row r="5" spans="1:5" ht="16" thickBot="1">
      <c r="A5" s="26" t="s">
        <v>28</v>
      </c>
      <c r="B5" s="27" t="s">
        <v>29</v>
      </c>
      <c r="C5" s="192"/>
      <c r="D5" s="192"/>
      <c r="E5" s="20"/>
    </row>
    <row r="6" spans="1:5" ht="21" customHeight="1" thickBot="1">
      <c r="A6" s="23">
        <v>382076</v>
      </c>
      <c r="B6" s="23">
        <f>(D3/365)*A6</f>
        <v>860456.08767123288</v>
      </c>
      <c r="C6" s="24">
        <f>'0 Emission Reduction'!E35</f>
        <v>1144912</v>
      </c>
      <c r="D6" s="25">
        <f>C6/B6-1</f>
        <v>0.33058736686799217</v>
      </c>
      <c r="E6" s="20"/>
    </row>
    <row r="8" spans="1:5">
      <c r="A8" s="122"/>
      <c r="B8" s="123"/>
      <c r="C8" s="124"/>
      <c r="D8" s="125"/>
      <c r="E8" s="50"/>
    </row>
    <row r="9" spans="1:5" ht="15.5">
      <c r="A9" s="195"/>
      <c r="B9" s="196"/>
      <c r="C9" s="61"/>
      <c r="D9" s="61"/>
      <c r="E9" s="20"/>
    </row>
    <row r="10" spans="1:5" ht="17.25" customHeight="1">
      <c r="A10" s="63"/>
      <c r="B10" s="63"/>
      <c r="C10" s="128"/>
      <c r="D10" s="62"/>
      <c r="E10" s="20"/>
    </row>
    <row r="11" spans="1:5" ht="15.5">
      <c r="A11" s="64"/>
      <c r="B11" s="65"/>
      <c r="C11" s="67"/>
      <c r="D11" s="66"/>
      <c r="E11" s="20"/>
    </row>
  </sheetData>
  <mergeCells count="5">
    <mergeCell ref="A1:E1"/>
    <mergeCell ref="D4:D5"/>
    <mergeCell ref="A4:B4"/>
    <mergeCell ref="C4:C5"/>
    <mergeCell ref="A9:B9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6FC7-48B1-4309-911B-B2D66CFE5579}">
  <dimension ref="B2:C7"/>
  <sheetViews>
    <sheetView workbookViewId="0">
      <selection activeCell="G7" sqref="G7"/>
    </sheetView>
  </sheetViews>
  <sheetFormatPr defaultRowHeight="14.5"/>
  <cols>
    <col min="1" max="1" width="7.453125" customWidth="1"/>
    <col min="2" max="2" width="9.54296875" customWidth="1"/>
    <col min="3" max="3" width="20.7265625" customWidth="1"/>
  </cols>
  <sheetData>
    <row r="2" spans="2:3">
      <c r="B2" s="197" t="s">
        <v>124</v>
      </c>
      <c r="C2" s="143" t="s">
        <v>2</v>
      </c>
    </row>
    <row r="3" spans="2:3">
      <c r="B3" s="197"/>
      <c r="C3" s="144" t="s">
        <v>125</v>
      </c>
    </row>
    <row r="4" spans="2:3">
      <c r="B4" s="142">
        <v>2020</v>
      </c>
      <c r="C4" s="38">
        <f>SUM('1 Electricity Generation'!I9:I10)</f>
        <v>109465.98999999999</v>
      </c>
    </row>
    <row r="5" spans="2:3">
      <c r="B5" s="142">
        <v>2021</v>
      </c>
      <c r="C5" s="38">
        <f>SUM('1 Electricity Generation'!I11:I22)</f>
        <v>702971.36</v>
      </c>
    </row>
    <row r="6" spans="2:3">
      <c r="B6" s="142">
        <v>2022</v>
      </c>
      <c r="C6" s="38">
        <f>SUM('1 Electricity Generation'!I23:I34)</f>
        <v>723884.65000000014</v>
      </c>
    </row>
    <row r="7" spans="2:3">
      <c r="B7" s="142">
        <v>2023</v>
      </c>
      <c r="C7" s="38">
        <f>'1 Electricity Generation'!I35</f>
        <v>62429.120000000003</v>
      </c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AFC2-C93F-465B-BF8B-5DB5E9A0E257}">
  <sheetPr>
    <tabColor theme="0"/>
  </sheetPr>
  <dimension ref="A1:U18"/>
  <sheetViews>
    <sheetView workbookViewId="0">
      <selection activeCell="H4" sqref="H4:M4"/>
    </sheetView>
  </sheetViews>
  <sheetFormatPr defaultRowHeight="14.5"/>
  <cols>
    <col min="2" max="2" width="15.08984375" customWidth="1"/>
    <col min="9" max="9" width="12.36328125" customWidth="1"/>
    <col min="16" max="16" width="10.81640625" customWidth="1"/>
  </cols>
  <sheetData>
    <row r="1" spans="1:21">
      <c r="A1" s="198" t="s">
        <v>128</v>
      </c>
      <c r="B1" s="199"/>
      <c r="C1" s="199"/>
      <c r="D1" s="199"/>
      <c r="E1" s="199"/>
      <c r="F1" s="199"/>
      <c r="G1" s="199"/>
      <c r="H1" s="198" t="s">
        <v>129</v>
      </c>
      <c r="I1" s="199"/>
      <c r="J1" s="199"/>
      <c r="K1" s="199"/>
      <c r="L1" s="199"/>
      <c r="M1" s="199"/>
      <c r="N1" s="199"/>
      <c r="O1" s="198" t="s">
        <v>130</v>
      </c>
      <c r="P1" s="199"/>
      <c r="Q1" s="199"/>
      <c r="R1" s="199"/>
      <c r="S1" s="199"/>
      <c r="T1" s="199"/>
      <c r="U1" s="199"/>
    </row>
    <row r="2" spans="1:21">
      <c r="A2" s="200" t="s">
        <v>99</v>
      </c>
      <c r="B2" s="200" t="s">
        <v>100</v>
      </c>
      <c r="C2" s="202" t="s">
        <v>101</v>
      </c>
      <c r="D2" s="203"/>
      <c r="E2" s="202" t="s">
        <v>102</v>
      </c>
      <c r="F2" s="203"/>
      <c r="G2" s="204"/>
      <c r="H2" s="200" t="s">
        <v>99</v>
      </c>
      <c r="I2" s="200" t="s">
        <v>100</v>
      </c>
      <c r="J2" s="202" t="s">
        <v>101</v>
      </c>
      <c r="K2" s="203"/>
      <c r="L2" s="202" t="s">
        <v>102</v>
      </c>
      <c r="M2" s="203"/>
      <c r="N2" s="204"/>
      <c r="O2" s="200" t="s">
        <v>99</v>
      </c>
      <c r="P2" s="200" t="s">
        <v>100</v>
      </c>
      <c r="Q2" s="202" t="s">
        <v>101</v>
      </c>
      <c r="R2" s="203"/>
      <c r="S2" s="202" t="s">
        <v>102</v>
      </c>
      <c r="T2" s="203"/>
      <c r="U2" s="204"/>
    </row>
    <row r="3" spans="1:21" ht="29">
      <c r="A3" s="201"/>
      <c r="B3" s="201"/>
      <c r="C3" s="130" t="s">
        <v>103</v>
      </c>
      <c r="D3" s="130" t="s">
        <v>104</v>
      </c>
      <c r="E3" s="130" t="s">
        <v>105</v>
      </c>
      <c r="F3" s="130" t="s">
        <v>106</v>
      </c>
      <c r="G3" s="204"/>
      <c r="H3" s="201"/>
      <c r="I3" s="201"/>
      <c r="J3" s="130" t="s">
        <v>103</v>
      </c>
      <c r="K3" s="130" t="s">
        <v>104</v>
      </c>
      <c r="L3" s="130" t="s">
        <v>105</v>
      </c>
      <c r="M3" s="130" t="s">
        <v>106</v>
      </c>
      <c r="N3" s="204"/>
      <c r="O3" s="201"/>
      <c r="P3" s="201"/>
      <c r="Q3" s="130" t="s">
        <v>103</v>
      </c>
      <c r="R3" s="130" t="s">
        <v>104</v>
      </c>
      <c r="S3" s="130" t="s">
        <v>105</v>
      </c>
      <c r="T3" s="130" t="s">
        <v>106</v>
      </c>
      <c r="U3" s="204"/>
    </row>
    <row r="4" spans="1:21">
      <c r="A4" s="205" t="s">
        <v>107</v>
      </c>
      <c r="B4" s="206"/>
      <c r="C4" s="206"/>
      <c r="D4" s="206"/>
      <c r="E4" s="206"/>
      <c r="F4" s="207"/>
      <c r="G4" s="204"/>
      <c r="H4" s="205" t="s">
        <v>107</v>
      </c>
      <c r="I4" s="206"/>
      <c r="J4" s="206"/>
      <c r="K4" s="206"/>
      <c r="L4" s="206"/>
      <c r="M4" s="207"/>
      <c r="N4" s="204"/>
      <c r="O4" s="205" t="s">
        <v>107</v>
      </c>
      <c r="P4" s="206"/>
      <c r="Q4" s="206"/>
      <c r="R4" s="206"/>
      <c r="S4" s="206"/>
      <c r="T4" s="207"/>
      <c r="U4" s="204"/>
    </row>
    <row r="5" spans="1:21">
      <c r="A5" s="132">
        <v>1</v>
      </c>
      <c r="B5" s="133" t="s">
        <v>108</v>
      </c>
      <c r="C5" s="132">
        <v>64</v>
      </c>
      <c r="D5" s="132">
        <v>6</v>
      </c>
      <c r="E5" s="132">
        <v>31</v>
      </c>
      <c r="F5" s="132">
        <v>39</v>
      </c>
      <c r="G5" s="204"/>
      <c r="H5" s="132">
        <v>1</v>
      </c>
      <c r="I5" s="133" t="s">
        <v>108</v>
      </c>
      <c r="J5" s="132">
        <v>63</v>
      </c>
      <c r="K5" s="132">
        <v>7</v>
      </c>
      <c r="L5" s="132">
        <v>23</v>
      </c>
      <c r="M5" s="132">
        <v>47</v>
      </c>
      <c r="N5" s="204"/>
      <c r="O5" s="132">
        <v>1</v>
      </c>
      <c r="P5" s="133" t="s">
        <v>108</v>
      </c>
      <c r="Q5" s="132">
        <v>63</v>
      </c>
      <c r="R5" s="132">
        <v>7</v>
      </c>
      <c r="S5" s="132">
        <v>26</v>
      </c>
      <c r="T5" s="132">
        <v>44</v>
      </c>
      <c r="U5" s="204"/>
    </row>
    <row r="6" spans="1:21">
      <c r="A6" s="205" t="s">
        <v>109</v>
      </c>
      <c r="B6" s="206"/>
      <c r="C6" s="206"/>
      <c r="D6" s="206"/>
      <c r="E6" s="206"/>
      <c r="F6" s="207"/>
      <c r="G6" s="204"/>
      <c r="H6" s="205" t="s">
        <v>109</v>
      </c>
      <c r="I6" s="206"/>
      <c r="J6" s="206"/>
      <c r="K6" s="206"/>
      <c r="L6" s="206"/>
      <c r="M6" s="207"/>
      <c r="N6" s="204"/>
      <c r="O6" s="205" t="s">
        <v>109</v>
      </c>
      <c r="P6" s="206"/>
      <c r="Q6" s="206"/>
      <c r="R6" s="206"/>
      <c r="S6" s="206"/>
      <c r="T6" s="207"/>
      <c r="U6" s="204"/>
    </row>
    <row r="7" spans="1:21">
      <c r="A7" s="132">
        <v>1</v>
      </c>
      <c r="B7" s="133" t="s">
        <v>110</v>
      </c>
      <c r="C7" s="132">
        <v>2</v>
      </c>
      <c r="D7" s="132">
        <v>0</v>
      </c>
      <c r="E7" s="132">
        <v>0</v>
      </c>
      <c r="F7" s="132">
        <v>2</v>
      </c>
      <c r="G7" s="204"/>
      <c r="H7" s="132">
        <v>1</v>
      </c>
      <c r="I7" s="133" t="s">
        <v>110</v>
      </c>
      <c r="J7" s="132">
        <v>4</v>
      </c>
      <c r="K7" s="132">
        <v>0</v>
      </c>
      <c r="L7" s="132">
        <v>0</v>
      </c>
      <c r="M7" s="132">
        <v>4</v>
      </c>
      <c r="N7" s="204"/>
      <c r="O7" s="132">
        <v>1</v>
      </c>
      <c r="P7" s="133" t="s">
        <v>110</v>
      </c>
      <c r="Q7" s="132">
        <v>2</v>
      </c>
      <c r="R7" s="132">
        <v>0</v>
      </c>
      <c r="S7" s="132">
        <v>0</v>
      </c>
      <c r="T7" s="132">
        <v>2</v>
      </c>
      <c r="U7" s="204"/>
    </row>
    <row r="8" spans="1:21">
      <c r="A8" s="132">
        <v>2</v>
      </c>
      <c r="B8" s="133" t="s">
        <v>111</v>
      </c>
      <c r="C8" s="132">
        <v>113</v>
      </c>
      <c r="D8" s="132">
        <v>7</v>
      </c>
      <c r="E8" s="132">
        <v>113</v>
      </c>
      <c r="F8" s="132">
        <v>7</v>
      </c>
      <c r="G8" s="204"/>
      <c r="H8" s="132">
        <v>2</v>
      </c>
      <c r="I8" s="133" t="s">
        <v>111</v>
      </c>
      <c r="J8" s="132">
        <v>114</v>
      </c>
      <c r="K8" s="132">
        <v>9</v>
      </c>
      <c r="L8" s="132">
        <v>116</v>
      </c>
      <c r="M8" s="132">
        <v>7</v>
      </c>
      <c r="N8" s="204"/>
      <c r="O8" s="132">
        <v>2</v>
      </c>
      <c r="P8" s="133" t="s">
        <v>111</v>
      </c>
      <c r="Q8" s="132">
        <v>105</v>
      </c>
      <c r="R8" s="132">
        <v>12</v>
      </c>
      <c r="S8" s="132">
        <v>105</v>
      </c>
      <c r="T8" s="132">
        <v>12</v>
      </c>
      <c r="U8" s="204"/>
    </row>
    <row r="9" spans="1:21">
      <c r="A9" s="132">
        <v>3</v>
      </c>
      <c r="B9" s="133" t="s">
        <v>112</v>
      </c>
      <c r="C9" s="132">
        <v>34</v>
      </c>
      <c r="D9" s="132">
        <v>0</v>
      </c>
      <c r="E9" s="132">
        <v>31</v>
      </c>
      <c r="F9" s="132">
        <v>3</v>
      </c>
      <c r="G9" s="204"/>
      <c r="H9" s="132">
        <v>3</v>
      </c>
      <c r="I9" s="133" t="s">
        <v>112</v>
      </c>
      <c r="J9" s="132">
        <v>19</v>
      </c>
      <c r="K9" s="132">
        <v>0</v>
      </c>
      <c r="L9" s="132">
        <v>16</v>
      </c>
      <c r="M9" s="132">
        <v>3</v>
      </c>
      <c r="N9" s="204"/>
      <c r="O9" s="132">
        <v>3</v>
      </c>
      <c r="P9" s="133" t="s">
        <v>112</v>
      </c>
      <c r="Q9" s="132">
        <v>19</v>
      </c>
      <c r="R9" s="132">
        <v>0</v>
      </c>
      <c r="S9" s="132">
        <v>16</v>
      </c>
      <c r="T9" s="132">
        <v>3</v>
      </c>
      <c r="U9" s="204"/>
    </row>
    <row r="10" spans="1:21">
      <c r="A10" s="132">
        <v>4</v>
      </c>
      <c r="B10" s="133" t="s">
        <v>113</v>
      </c>
      <c r="C10" s="132">
        <v>43</v>
      </c>
      <c r="D10" s="132">
        <v>19</v>
      </c>
      <c r="E10" s="132">
        <v>59</v>
      </c>
      <c r="F10" s="132">
        <v>3</v>
      </c>
      <c r="G10" s="204"/>
      <c r="H10" s="132">
        <v>4</v>
      </c>
      <c r="I10" s="133" t="s">
        <v>113</v>
      </c>
      <c r="J10" s="132">
        <v>33</v>
      </c>
      <c r="K10" s="132">
        <v>12</v>
      </c>
      <c r="L10" s="132">
        <v>43</v>
      </c>
      <c r="M10" s="132">
        <v>2</v>
      </c>
      <c r="N10" s="204"/>
      <c r="O10" s="132">
        <v>4</v>
      </c>
      <c r="P10" s="133" t="s">
        <v>113</v>
      </c>
      <c r="Q10" s="132">
        <v>43</v>
      </c>
      <c r="R10" s="132">
        <v>19</v>
      </c>
      <c r="S10" s="132">
        <v>59</v>
      </c>
      <c r="T10" s="132">
        <v>3</v>
      </c>
      <c r="U10" s="204"/>
    </row>
    <row r="11" spans="1:21">
      <c r="A11" s="132">
        <v>5</v>
      </c>
      <c r="B11" s="133" t="s">
        <v>114</v>
      </c>
      <c r="C11" s="132">
        <v>22</v>
      </c>
      <c r="D11" s="132">
        <v>2</v>
      </c>
      <c r="E11" s="132">
        <v>4</v>
      </c>
      <c r="F11" s="132">
        <v>20</v>
      </c>
      <c r="G11" s="204"/>
      <c r="H11" s="132">
        <v>5</v>
      </c>
      <c r="I11" s="140" t="s">
        <v>119</v>
      </c>
      <c r="J11" s="132">
        <v>22</v>
      </c>
      <c r="K11" s="132">
        <v>2</v>
      </c>
      <c r="L11" s="132">
        <v>4</v>
      </c>
      <c r="M11" s="132">
        <v>20</v>
      </c>
      <c r="N11" s="204"/>
      <c r="O11" s="132">
        <v>6</v>
      </c>
      <c r="P11" s="133" t="s">
        <v>115</v>
      </c>
      <c r="Q11" s="132">
        <v>16</v>
      </c>
      <c r="R11" s="132">
        <v>2</v>
      </c>
      <c r="S11" s="132">
        <v>13</v>
      </c>
      <c r="T11" s="132">
        <v>5</v>
      </c>
      <c r="U11" s="204"/>
    </row>
    <row r="12" spans="1:21">
      <c r="A12" s="132">
        <v>6</v>
      </c>
      <c r="B12" s="133" t="s">
        <v>115</v>
      </c>
      <c r="C12" s="132">
        <v>21</v>
      </c>
      <c r="D12" s="132">
        <v>2</v>
      </c>
      <c r="E12" s="132">
        <v>14</v>
      </c>
      <c r="F12" s="132">
        <v>9</v>
      </c>
      <c r="G12" s="204"/>
      <c r="H12" s="132">
        <v>6</v>
      </c>
      <c r="I12" s="133" t="s">
        <v>115</v>
      </c>
      <c r="J12" s="132">
        <v>31</v>
      </c>
      <c r="K12" s="132">
        <v>2</v>
      </c>
      <c r="L12" s="132">
        <v>22</v>
      </c>
      <c r="M12" s="132">
        <v>11</v>
      </c>
      <c r="N12" s="204"/>
      <c r="O12" s="132">
        <v>7</v>
      </c>
      <c r="P12" s="133" t="s">
        <v>116</v>
      </c>
      <c r="Q12" s="132">
        <v>33</v>
      </c>
      <c r="R12" s="132">
        <v>0</v>
      </c>
      <c r="S12" s="132">
        <v>31</v>
      </c>
      <c r="T12" s="132">
        <v>2</v>
      </c>
      <c r="U12" s="204"/>
    </row>
    <row r="13" spans="1:21">
      <c r="A13" s="132">
        <v>7</v>
      </c>
      <c r="B13" s="133" t="s">
        <v>116</v>
      </c>
      <c r="C13" s="132">
        <v>42</v>
      </c>
      <c r="D13" s="132">
        <v>0</v>
      </c>
      <c r="E13" s="132">
        <v>41</v>
      </c>
      <c r="F13" s="132">
        <v>1</v>
      </c>
      <c r="G13" s="204"/>
      <c r="H13" s="132">
        <v>7</v>
      </c>
      <c r="I13" s="133" t="s">
        <v>116</v>
      </c>
      <c r="J13" s="132">
        <v>42</v>
      </c>
      <c r="K13" s="132">
        <v>0</v>
      </c>
      <c r="L13" s="132">
        <v>41</v>
      </c>
      <c r="M13" s="132">
        <v>1</v>
      </c>
      <c r="N13" s="204"/>
      <c r="O13" s="132">
        <v>8</v>
      </c>
      <c r="P13" s="133" t="s">
        <v>117</v>
      </c>
      <c r="Q13" s="132">
        <v>1</v>
      </c>
      <c r="R13" s="132">
        <v>0</v>
      </c>
      <c r="S13" s="132">
        <v>1</v>
      </c>
      <c r="T13" s="132">
        <v>0</v>
      </c>
      <c r="U13" s="204"/>
    </row>
    <row r="14" spans="1:21">
      <c r="A14" s="132">
        <v>8</v>
      </c>
      <c r="B14" s="133" t="s">
        <v>117</v>
      </c>
      <c r="C14" s="132">
        <v>2</v>
      </c>
      <c r="D14" s="132">
        <v>0</v>
      </c>
      <c r="E14" s="132">
        <v>1</v>
      </c>
      <c r="F14" s="132">
        <v>1</v>
      </c>
      <c r="G14" s="204"/>
      <c r="H14" s="132">
        <v>8</v>
      </c>
      <c r="I14" s="133" t="s">
        <v>117</v>
      </c>
      <c r="J14" s="132">
        <v>1</v>
      </c>
      <c r="K14" s="132">
        <v>0</v>
      </c>
      <c r="L14" s="132">
        <v>1</v>
      </c>
      <c r="M14" s="132">
        <v>0</v>
      </c>
      <c r="N14" s="204"/>
      <c r="O14" s="132">
        <v>9</v>
      </c>
      <c r="P14" s="131" t="s">
        <v>120</v>
      </c>
      <c r="Q14" s="132">
        <v>25</v>
      </c>
      <c r="R14" s="132">
        <v>1</v>
      </c>
      <c r="S14" s="132">
        <v>24</v>
      </c>
      <c r="T14" s="132">
        <v>2</v>
      </c>
      <c r="U14" s="204"/>
    </row>
    <row r="15" spans="1:21">
      <c r="A15" s="208" t="s">
        <v>102</v>
      </c>
      <c r="B15" s="209"/>
      <c r="C15" s="134">
        <f>SUM(C5,C7:C14)</f>
        <v>343</v>
      </c>
      <c r="D15" s="134">
        <f>SUM(D5,D7:D14)</f>
        <v>36</v>
      </c>
      <c r="E15" s="134">
        <f t="shared" ref="E15:F15" si="0">SUM(E5,E7:E14)</f>
        <v>294</v>
      </c>
      <c r="F15" s="134">
        <f t="shared" si="0"/>
        <v>85</v>
      </c>
      <c r="G15" s="204"/>
      <c r="H15" s="132">
        <v>9</v>
      </c>
      <c r="I15" s="131" t="s">
        <v>120</v>
      </c>
      <c r="J15" s="132">
        <v>22</v>
      </c>
      <c r="K15" s="132">
        <v>0</v>
      </c>
      <c r="L15" s="132">
        <v>19</v>
      </c>
      <c r="M15" s="132">
        <v>3</v>
      </c>
      <c r="N15" s="204"/>
      <c r="O15" s="135">
        <v>10</v>
      </c>
      <c r="P15" s="131" t="s">
        <v>121</v>
      </c>
      <c r="Q15" s="132">
        <v>7</v>
      </c>
      <c r="R15" s="132">
        <v>0</v>
      </c>
      <c r="S15" s="132">
        <v>7</v>
      </c>
      <c r="T15" s="132">
        <v>0</v>
      </c>
      <c r="U15" s="204"/>
    </row>
    <row r="16" spans="1:21">
      <c r="A16" s="208" t="s">
        <v>102</v>
      </c>
      <c r="B16" s="209"/>
      <c r="C16" s="210">
        <f>SUM(C15:D15)</f>
        <v>379</v>
      </c>
      <c r="D16" s="211"/>
      <c r="E16" s="210">
        <f>SUM(E15:F15)</f>
        <v>379</v>
      </c>
      <c r="F16" s="211"/>
      <c r="G16" s="204"/>
      <c r="H16" s="208" t="s">
        <v>102</v>
      </c>
      <c r="I16" s="209"/>
      <c r="J16" s="134">
        <f>SUM(J5,J7:J15)</f>
        <v>351</v>
      </c>
      <c r="K16" s="134">
        <f>SUM(K5,K7:K15)</f>
        <v>32</v>
      </c>
      <c r="L16" s="134">
        <f>SUM(L5,L7:L15)</f>
        <v>285</v>
      </c>
      <c r="M16" s="134">
        <f t="shared" ref="M16" si="1">SUM(M5,M7:M15)</f>
        <v>98</v>
      </c>
      <c r="N16" s="204"/>
      <c r="O16" s="208" t="s">
        <v>102</v>
      </c>
      <c r="P16" s="209"/>
      <c r="Q16" s="134">
        <f>SUM(Q5,Q7:Q15)</f>
        <v>314</v>
      </c>
      <c r="R16" s="134">
        <f>SUM(R5,R7:R15)</f>
        <v>41</v>
      </c>
      <c r="S16" s="134">
        <f>SUM(S5,S7:S15)</f>
        <v>282</v>
      </c>
      <c r="T16" s="134">
        <f>SUM(T5,T7:T15)</f>
        <v>73</v>
      </c>
      <c r="U16" s="204"/>
    </row>
    <row r="17" spans="1:21">
      <c r="A17" s="136"/>
      <c r="B17" s="137" t="s">
        <v>118</v>
      </c>
      <c r="C17" s="136"/>
      <c r="D17" s="136"/>
      <c r="E17" s="138">
        <f>E15/E16*100%</f>
        <v>0.77572559366754612</v>
      </c>
      <c r="F17" s="138">
        <f>F15/E16*100%</f>
        <v>0.22427440633245382</v>
      </c>
      <c r="G17" s="139"/>
      <c r="H17" s="208" t="s">
        <v>102</v>
      </c>
      <c r="I17" s="209"/>
      <c r="J17" s="210">
        <f>SUM(J16:K16)</f>
        <v>383</v>
      </c>
      <c r="K17" s="211"/>
      <c r="L17" s="210">
        <f>SUM(L16:M16)</f>
        <v>383</v>
      </c>
      <c r="M17" s="211"/>
      <c r="N17" s="204"/>
      <c r="O17" s="208" t="s">
        <v>102</v>
      </c>
      <c r="P17" s="209"/>
      <c r="Q17" s="210">
        <f>SUM(Q16:R16)</f>
        <v>355</v>
      </c>
      <c r="R17" s="211"/>
      <c r="S17" s="210">
        <f>SUM(S16:T16)</f>
        <v>355</v>
      </c>
      <c r="T17" s="211"/>
      <c r="U17" s="204"/>
    </row>
    <row r="18" spans="1:21">
      <c r="H18" s="136"/>
      <c r="I18" s="137" t="s">
        <v>118</v>
      </c>
      <c r="J18" s="136"/>
      <c r="K18" s="136"/>
      <c r="L18" s="138">
        <f>L16/L17*100%</f>
        <v>0.74412532637075723</v>
      </c>
      <c r="M18" s="138">
        <f>M16/L17*100%</f>
        <v>0.25587467362924282</v>
      </c>
      <c r="N18" s="139"/>
      <c r="O18" s="136"/>
      <c r="P18" s="137" t="s">
        <v>118</v>
      </c>
      <c r="Q18" s="136"/>
      <c r="R18" s="136"/>
      <c r="S18" s="138">
        <f>S16/S17*100%</f>
        <v>0.79436619718309864</v>
      </c>
      <c r="T18" s="138">
        <f>T16/S17*100%</f>
        <v>0.20563380281690141</v>
      </c>
      <c r="U18" s="139"/>
    </row>
  </sheetData>
  <mergeCells count="36">
    <mergeCell ref="O1:U1"/>
    <mergeCell ref="O2:O3"/>
    <mergeCell ref="P2:P3"/>
    <mergeCell ref="Q2:R2"/>
    <mergeCell ref="S2:T2"/>
    <mergeCell ref="U2:U17"/>
    <mergeCell ref="O4:T4"/>
    <mergeCell ref="O6:T6"/>
    <mergeCell ref="O16:P16"/>
    <mergeCell ref="O17:P17"/>
    <mergeCell ref="Q17:R17"/>
    <mergeCell ref="S17:T17"/>
    <mergeCell ref="A1:G1"/>
    <mergeCell ref="A2:A3"/>
    <mergeCell ref="B2:B3"/>
    <mergeCell ref="C2:D2"/>
    <mergeCell ref="E2:F2"/>
    <mergeCell ref="G2:G16"/>
    <mergeCell ref="A4:F4"/>
    <mergeCell ref="A6:F6"/>
    <mergeCell ref="A15:B15"/>
    <mergeCell ref="A16:B16"/>
    <mergeCell ref="C16:D16"/>
    <mergeCell ref="E16:F16"/>
    <mergeCell ref="H1:N1"/>
    <mergeCell ref="H2:H3"/>
    <mergeCell ref="I2:I3"/>
    <mergeCell ref="J2:K2"/>
    <mergeCell ref="L2:M2"/>
    <mergeCell ref="N2:N17"/>
    <mergeCell ref="H4:M4"/>
    <mergeCell ref="H6:M6"/>
    <mergeCell ref="H16:I16"/>
    <mergeCell ref="H17:I17"/>
    <mergeCell ref="J17:K17"/>
    <mergeCell ref="L17:M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81D2-4788-4959-9F58-B7388BBA236F}">
  <dimension ref="B2:C7"/>
  <sheetViews>
    <sheetView workbookViewId="0">
      <selection activeCell="G9" sqref="G9"/>
    </sheetView>
  </sheetViews>
  <sheetFormatPr defaultRowHeight="14.5"/>
  <cols>
    <col min="1" max="1" width="6.26953125" customWidth="1"/>
    <col min="3" max="3" width="21.08984375" customWidth="1"/>
  </cols>
  <sheetData>
    <row r="2" spans="2:3">
      <c r="B2" s="197" t="s">
        <v>124</v>
      </c>
      <c r="C2" s="143" t="s">
        <v>126</v>
      </c>
    </row>
    <row r="3" spans="2:3">
      <c r="B3" s="197"/>
      <c r="C3" s="144" t="s">
        <v>127</v>
      </c>
    </row>
    <row r="4" spans="2:3">
      <c r="B4" s="141">
        <v>2020</v>
      </c>
      <c r="C4" s="145">
        <f>SUM('0 Emission Reduction'!E8:E9)</f>
        <v>78092</v>
      </c>
    </row>
    <row r="5" spans="2:3">
      <c r="B5" s="141">
        <v>2021</v>
      </c>
      <c r="C5" s="145">
        <f>SUM('0 Emission Reduction'!E10:E21)</f>
        <v>502721</v>
      </c>
    </row>
    <row r="6" spans="2:3">
      <c r="B6" s="141">
        <v>2022</v>
      </c>
      <c r="C6" s="145">
        <f>SUM('0 Emission Reduction'!E22:E33)</f>
        <v>519334</v>
      </c>
    </row>
    <row r="7" spans="2:3">
      <c r="B7" s="141">
        <v>2023</v>
      </c>
      <c r="C7" s="145">
        <f>'0 Emission Reduction'!E34</f>
        <v>44765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 Emission Reduction</vt:lpstr>
      <vt:lpstr>1 Electricity Generation</vt:lpstr>
      <vt:lpstr>2a NCG</vt:lpstr>
      <vt:lpstr>Sheet1</vt:lpstr>
      <vt:lpstr>2b Diesel</vt:lpstr>
      <vt:lpstr>3 Comparison</vt:lpstr>
      <vt:lpstr>SDG7</vt:lpstr>
      <vt:lpstr>SDG8</vt:lpstr>
      <vt:lpstr>SDG13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Saktiyo Nugroho</cp:lastModifiedBy>
  <dcterms:created xsi:type="dcterms:W3CDTF">2020-11-18T13:51:01Z</dcterms:created>
  <dcterms:modified xsi:type="dcterms:W3CDTF">2024-01-21T17:20:56Z</dcterms:modified>
</cp:coreProperties>
</file>