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bon\2022\to be uploaded to SC Platform\VPA2\"/>
    </mc:Choice>
  </mc:AlternateContent>
  <bookViews>
    <workbookView xWindow="0" yWindow="0" windowWidth="23040" windowHeight="9096" activeTab="2"/>
  </bookViews>
  <sheets>
    <sheet name="GS VER 2021" sheetId="20" r:id="rId1"/>
    <sheet name="Cumulative VER" sheetId="16" r:id="rId2"/>
    <sheet name="Bio-slurry | 2021" sheetId="21" r:id="rId3"/>
    <sheet name="Capacity calculation" sheetId="19" r:id="rId4"/>
  </sheets>
  <definedNames>
    <definedName name="_ftn1" localSheetId="2">'Bio-slurry | 2021'!#REF!</definedName>
    <definedName name="_ftn2" localSheetId="3">'Capacity calculation'!$B$24</definedName>
    <definedName name="_ftn3" localSheetId="3">'Capacity calculation'!$B$25</definedName>
    <definedName name="_ftnref1" localSheetId="2">'Bio-slurry | 2021'!$C$9</definedName>
    <definedName name="_ftnref2" localSheetId="3">'Capacity calculation'!$C$17</definedName>
    <definedName name="_ftnref3" localSheetId="3">'Capacity calculation'!$D$18</definedName>
    <definedName name="_Ref370485926" localSheetId="1">'Cumulative VER'!$S$20</definedName>
  </definedNames>
  <calcPr calcId="967461"/>
</workbook>
</file>

<file path=xl/calcChain.xml><?xml version="1.0" encoding="utf-8"?>
<calcChain xmlns="http://schemas.openxmlformats.org/spreadsheetml/2006/main">
  <c r="G39" i="21" l="1"/>
  <c r="C45" i="21"/>
  <c r="E98" i="20"/>
  <c r="E96" i="20"/>
  <c r="O27" i="16"/>
  <c r="O26" i="16"/>
  <c r="O29" i="16"/>
  <c r="O25" i="16"/>
  <c r="O24" i="16"/>
  <c r="O23" i="16"/>
  <c r="BJ14" i="16"/>
  <c r="C17" i="19"/>
  <c r="H17" i="19"/>
  <c r="AG5" i="16"/>
  <c r="AY5" i="16"/>
  <c r="AZ5" i="16"/>
  <c r="F25" i="16"/>
  <c r="AL15" i="16"/>
  <c r="AX15" i="16"/>
  <c r="E25" i="16"/>
  <c r="E84" i="20"/>
  <c r="E85" i="20"/>
  <c r="AA5" i="16"/>
  <c r="AB5" i="16"/>
  <c r="AC5" i="16"/>
  <c r="AD5" i="16"/>
  <c r="AE5" i="16"/>
  <c r="AF5" i="16"/>
  <c r="E24" i="20"/>
  <c r="E27" i="20"/>
  <c r="E18" i="20"/>
  <c r="E53" i="20"/>
  <c r="G44" i="20"/>
  <c r="AX14" i="16"/>
  <c r="AH5" i="16"/>
  <c r="AI5" i="16"/>
  <c r="AJ5" i="16"/>
  <c r="O5" i="16"/>
  <c r="P5" i="16"/>
  <c r="AX16" i="16"/>
  <c r="AN16" i="16"/>
  <c r="AW16" i="16"/>
  <c r="AV16" i="16"/>
  <c r="AU16" i="16"/>
  <c r="AT16" i="16"/>
  <c r="AS16" i="16"/>
  <c r="AR16" i="16"/>
  <c r="AQ16" i="16"/>
  <c r="AP16" i="16"/>
  <c r="AO16" i="16"/>
  <c r="AM16" i="16"/>
  <c r="C3" i="19"/>
  <c r="C4" i="19"/>
  <c r="F7" i="19"/>
  <c r="C18" i="19"/>
  <c r="C19" i="19"/>
  <c r="C20" i="19"/>
  <c r="C5" i="19"/>
  <c r="J10" i="21"/>
  <c r="D11" i="21"/>
  <c r="E11" i="21"/>
  <c r="G11" i="21"/>
  <c r="G12" i="21"/>
  <c r="C19" i="21"/>
  <c r="F19" i="21"/>
  <c r="C39" i="21"/>
  <c r="G26" i="21"/>
  <c r="C5" i="16"/>
  <c r="D5" i="16"/>
  <c r="E5" i="16"/>
  <c r="F5" i="16"/>
  <c r="G5" i="16"/>
  <c r="I5" i="16"/>
  <c r="J5" i="16"/>
  <c r="U5" i="16"/>
  <c r="V5" i="16"/>
  <c r="W5" i="16"/>
  <c r="C8" i="16"/>
  <c r="D8" i="16"/>
  <c r="C9" i="16"/>
  <c r="C11" i="16"/>
  <c r="N14" i="16"/>
  <c r="Z14" i="16"/>
  <c r="AL14" i="16"/>
  <c r="BV14" i="16"/>
  <c r="CH14" i="16"/>
  <c r="CT14" i="16"/>
  <c r="N15" i="16"/>
  <c r="Z15" i="16"/>
  <c r="BV15" i="16"/>
  <c r="CH15" i="16"/>
  <c r="CT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M20" i="16"/>
  <c r="CH21" i="16"/>
  <c r="CT21" i="16"/>
  <c r="B25" i="16"/>
  <c r="B26" i="16"/>
  <c r="C26" i="16"/>
  <c r="D26" i="16"/>
  <c r="E26" i="16"/>
  <c r="F26" i="16"/>
  <c r="C25" i="16"/>
  <c r="D25" i="16"/>
  <c r="G25" i="16"/>
  <c r="H25" i="16"/>
  <c r="I25" i="16"/>
  <c r="C34" i="16"/>
  <c r="I34" i="16"/>
  <c r="A35" i="16"/>
  <c r="A36" i="16"/>
  <c r="A37" i="16"/>
  <c r="A38" i="16"/>
  <c r="A39" i="16"/>
  <c r="A40" i="16"/>
  <c r="A41" i="16"/>
  <c r="A42" i="16"/>
  <c r="A43" i="16"/>
  <c r="A44" i="16"/>
  <c r="A45" i="16"/>
  <c r="B35" i="16"/>
  <c r="B36" i="16"/>
  <c r="B37" i="16"/>
  <c r="E12" i="20"/>
  <c r="E45" i="20"/>
  <c r="E21" i="20"/>
  <c r="E34" i="20"/>
  <c r="E43" i="20"/>
  <c r="E44" i="20"/>
  <c r="E56" i="20"/>
  <c r="E77" i="20"/>
  <c r="E78" i="20"/>
  <c r="E62" i="20"/>
  <c r="E69" i="20"/>
  <c r="C35" i="16"/>
  <c r="C17" i="16"/>
  <c r="D17" i="16"/>
  <c r="E8" i="16"/>
  <c r="D9" i="16"/>
  <c r="D11" i="16"/>
  <c r="E31" i="21"/>
  <c r="F31" i="21"/>
  <c r="G31" i="21"/>
  <c r="G32" i="21"/>
  <c r="D39" i="21"/>
  <c r="E48" i="20"/>
  <c r="C37" i="16"/>
  <c r="B38" i="16"/>
  <c r="K5" i="16"/>
  <c r="C7" i="19"/>
  <c r="C6" i="19"/>
  <c r="Q5" i="16"/>
  <c r="H5" i="16"/>
  <c r="AK5" i="16"/>
  <c r="BA5" i="16"/>
  <c r="E28" i="20"/>
  <c r="E35" i="20"/>
  <c r="E63" i="20"/>
  <c r="E70" i="20"/>
  <c r="E13" i="20"/>
  <c r="X5" i="16"/>
  <c r="N29" i="16"/>
  <c r="C36" i="16"/>
  <c r="E86" i="20"/>
  <c r="E9" i="16"/>
  <c r="E17" i="16"/>
  <c r="F8" i="16"/>
  <c r="AL5" i="16"/>
  <c r="E81" i="20"/>
  <c r="E37" i="20"/>
  <c r="C38" i="16"/>
  <c r="B39" i="16"/>
  <c r="Y5" i="16"/>
  <c r="BB5" i="16"/>
  <c r="L5" i="16"/>
  <c r="R5" i="16"/>
  <c r="F17" i="16"/>
  <c r="G8" i="16"/>
  <c r="E11" i="16"/>
  <c r="F9" i="16"/>
  <c r="C39" i="16"/>
  <c r="B40" i="16"/>
  <c r="Z5" i="16"/>
  <c r="M5" i="16"/>
  <c r="AM5" i="16"/>
  <c r="BC5" i="16"/>
  <c r="S5" i="16"/>
  <c r="E91" i="20"/>
  <c r="F11" i="16"/>
  <c r="G9" i="16"/>
  <c r="H8" i="16"/>
  <c r="G17" i="16"/>
  <c r="B41" i="16"/>
  <c r="C40" i="16"/>
  <c r="T5" i="16"/>
  <c r="BD5" i="16"/>
  <c r="AN5" i="16"/>
  <c r="N5" i="16"/>
  <c r="H17" i="16"/>
  <c r="I8" i="16"/>
  <c r="G11" i="16"/>
  <c r="H9" i="16"/>
  <c r="BE5" i="16"/>
  <c r="AO5" i="16"/>
  <c r="B42" i="16"/>
  <c r="C41" i="16"/>
  <c r="H11" i="16"/>
  <c r="I9" i="16"/>
  <c r="I17" i="16"/>
  <c r="J8" i="16"/>
  <c r="B43" i="16"/>
  <c r="C42" i="16"/>
  <c r="AP5" i="16"/>
  <c r="BF5" i="16"/>
  <c r="J17" i="16"/>
  <c r="K8" i="16"/>
  <c r="I11" i="16"/>
  <c r="J9" i="16"/>
  <c r="AQ5" i="16"/>
  <c r="B44" i="16"/>
  <c r="C43" i="16"/>
  <c r="BG5" i="16"/>
  <c r="K17" i="16"/>
  <c r="L8" i="16"/>
  <c r="K9" i="16"/>
  <c r="J11" i="16"/>
  <c r="B45" i="16"/>
  <c r="C44" i="16"/>
  <c r="BH5" i="16"/>
  <c r="AR5" i="16"/>
  <c r="L9" i="16"/>
  <c r="K11" i="16"/>
  <c r="M8" i="16"/>
  <c r="L17" i="16"/>
  <c r="C45" i="16"/>
  <c r="J34" i="16"/>
  <c r="AS5" i="16"/>
  <c r="BI5" i="16"/>
  <c r="M17" i="16"/>
  <c r="N8" i="16"/>
  <c r="L11" i="16"/>
  <c r="M9" i="16"/>
  <c r="AT5" i="16"/>
  <c r="BJ5" i="16"/>
  <c r="N9" i="16"/>
  <c r="M11" i="16"/>
  <c r="O8" i="16"/>
  <c r="N17" i="16"/>
  <c r="AU5" i="16"/>
  <c r="P8" i="16"/>
  <c r="O17" i="16"/>
  <c r="N11" i="16"/>
  <c r="O9" i="16"/>
  <c r="AV5" i="16"/>
  <c r="O11" i="16"/>
  <c r="P9" i="16"/>
  <c r="Q8" i="16"/>
  <c r="P17" i="16"/>
  <c r="AW5" i="16"/>
  <c r="P11" i="16"/>
  <c r="Q9" i="16"/>
  <c r="Q17" i="16"/>
  <c r="R8" i="16"/>
  <c r="AX5" i="16"/>
  <c r="R17" i="16"/>
  <c r="S8" i="16"/>
  <c r="Q11" i="16"/>
  <c r="R9" i="16"/>
  <c r="T8" i="16"/>
  <c r="S17" i="16"/>
  <c r="R11" i="16"/>
  <c r="S9" i="16"/>
  <c r="S11" i="16"/>
  <c r="T9" i="16"/>
  <c r="T17" i="16"/>
  <c r="U8" i="16"/>
  <c r="V8" i="16"/>
  <c r="U17" i="16"/>
  <c r="U9" i="16"/>
  <c r="T11" i="16"/>
  <c r="V9" i="16"/>
  <c r="U11" i="16"/>
  <c r="V17" i="16"/>
  <c r="W8" i="16"/>
  <c r="X8" i="16"/>
  <c r="W17" i="16"/>
  <c r="V11" i="16"/>
  <c r="W9" i="16"/>
  <c r="W11" i="16"/>
  <c r="X9" i="16"/>
  <c r="Y8" i="16"/>
  <c r="X17" i="16"/>
  <c r="Z8" i="16"/>
  <c r="Y17" i="16"/>
  <c r="Y9" i="16"/>
  <c r="X11" i="16"/>
  <c r="Y11" i="16"/>
  <c r="Z9" i="16"/>
  <c r="AA8" i="16"/>
  <c r="Z17" i="16"/>
  <c r="AB8" i="16"/>
  <c r="AA17" i="16"/>
  <c r="Z11" i="16"/>
  <c r="AA9" i="16"/>
  <c r="AA11" i="16"/>
  <c r="AB9" i="16"/>
  <c r="AC8" i="16"/>
  <c r="AB17" i="16"/>
  <c r="AC17" i="16"/>
  <c r="AD8" i="16"/>
  <c r="AB11" i="16"/>
  <c r="AC9" i="16"/>
  <c r="AE8" i="16"/>
  <c r="AD17" i="16"/>
  <c r="AC11" i="16"/>
  <c r="AD9" i="16"/>
  <c r="AD11" i="16"/>
  <c r="AE9" i="16"/>
  <c r="AF8" i="16"/>
  <c r="AE17" i="16"/>
  <c r="AF17" i="16"/>
  <c r="AG8" i="16"/>
  <c r="AE11" i="16"/>
  <c r="AF9" i="16"/>
  <c r="AF11" i="16"/>
  <c r="AG9" i="16"/>
  <c r="AH8" i="16"/>
  <c r="AG17" i="16"/>
  <c r="AH17" i="16"/>
  <c r="AI8" i="16"/>
  <c r="AG11" i="16"/>
  <c r="AH9" i="16"/>
  <c r="AI9" i="16"/>
  <c r="AH11" i="16"/>
  <c r="AI17" i="16"/>
  <c r="AJ8" i="16"/>
  <c r="AK8" i="16"/>
  <c r="AJ17" i="16"/>
  <c r="AI11" i="16"/>
  <c r="AJ9" i="16"/>
  <c r="AJ11" i="16"/>
  <c r="AK9" i="16"/>
  <c r="AL8" i="16"/>
  <c r="AK17" i="16"/>
  <c r="AL17" i="16"/>
  <c r="AM8" i="16"/>
  <c r="AK11" i="16"/>
  <c r="AL9" i="16"/>
  <c r="AL11" i="16"/>
  <c r="AM9" i="16"/>
  <c r="AM17" i="16"/>
  <c r="AN8" i="16"/>
  <c r="AO8" i="16"/>
  <c r="AN17" i="16"/>
  <c r="AM11" i="16"/>
  <c r="AN9" i="16"/>
  <c r="AN11" i="16"/>
  <c r="AO9" i="16"/>
  <c r="AO17" i="16"/>
  <c r="AP8" i="16"/>
  <c r="AO11" i="16"/>
  <c r="AP9" i="16"/>
  <c r="AQ8" i="16"/>
  <c r="AP17" i="16"/>
  <c r="AQ17" i="16"/>
  <c r="AR8" i="16"/>
  <c r="AP11" i="16"/>
  <c r="AQ9" i="16"/>
  <c r="AQ11" i="16"/>
  <c r="AR9" i="16"/>
  <c r="AR17" i="16"/>
  <c r="AS8" i="16"/>
  <c r="AT8" i="16"/>
  <c r="AS17" i="16"/>
  <c r="AR11" i="16"/>
  <c r="AS9" i="16"/>
  <c r="AS11" i="16"/>
  <c r="AT9" i="16"/>
  <c r="AU8" i="16"/>
  <c r="AT17" i="16"/>
  <c r="AU17" i="16"/>
  <c r="AV8" i="16"/>
  <c r="AT11" i="16"/>
  <c r="AU9" i="16"/>
  <c r="AU11" i="16"/>
  <c r="AV9" i="16"/>
  <c r="AW8" i="16"/>
  <c r="AV17" i="16"/>
  <c r="AX8" i="16"/>
  <c r="AW17" i="16"/>
  <c r="AV11" i="16"/>
  <c r="AW9" i="16"/>
  <c r="AX9" i="16"/>
  <c r="AX11" i="16"/>
  <c r="AW11" i="16"/>
  <c r="AY8" i="16"/>
  <c r="AX17" i="16"/>
  <c r="AY9" i="16"/>
  <c r="AZ8" i="16"/>
  <c r="AZ9" i="16"/>
  <c r="D34" i="16"/>
  <c r="BA8" i="16"/>
  <c r="D35" i="16"/>
  <c r="BA9" i="16"/>
  <c r="BB8" i="16"/>
  <c r="BB9" i="16"/>
  <c r="D36" i="16"/>
  <c r="D37" i="16"/>
  <c r="BC8" i="16"/>
  <c r="BC9" i="16"/>
  <c r="BD8" i="16"/>
  <c r="BD9" i="16"/>
  <c r="D38" i="16"/>
  <c r="BE8" i="16"/>
  <c r="BE9" i="16"/>
  <c r="D39" i="16"/>
  <c r="D40" i="16"/>
  <c r="BF8" i="16"/>
  <c r="BF9" i="16"/>
  <c r="BG8" i="16"/>
  <c r="BG9" i="16"/>
  <c r="D41" i="16"/>
  <c r="BH8" i="16"/>
  <c r="D42" i="16"/>
  <c r="BH9" i="16"/>
  <c r="BI8" i="16"/>
  <c r="BI9" i="16"/>
  <c r="D43" i="16"/>
  <c r="BJ8" i="16"/>
  <c r="D45" i="16"/>
  <c r="D44" i="16"/>
  <c r="BJ9" i="16"/>
  <c r="E72" i="20"/>
  <c r="E80" i="20"/>
  <c r="E74" i="20"/>
  <c r="E97" i="20"/>
  <c r="E99" i="20"/>
  <c r="G94" i="20"/>
  <c r="E90" i="20"/>
  <c r="E92" i="20"/>
  <c r="E82" i="20"/>
  <c r="J3" i="16"/>
  <c r="E45" i="21"/>
  <c r="G45" i="21"/>
  <c r="BB11" i="16"/>
  <c r="BB12" i="16"/>
  <c r="E37" i="16"/>
  <c r="BC11" i="16"/>
  <c r="BC12" i="16"/>
  <c r="E38" i="16"/>
  <c r="AZ11" i="16"/>
  <c r="AZ12" i="16"/>
  <c r="E35" i="16"/>
  <c r="BA11" i="16"/>
  <c r="BA12" i="16"/>
  <c r="E36" i="16"/>
  <c r="BJ11" i="16"/>
  <c r="BJ12" i="16"/>
  <c r="E45" i="16"/>
  <c r="BG11" i="16"/>
  <c r="BG12" i="16"/>
  <c r="E42" i="16"/>
  <c r="BH11" i="16"/>
  <c r="BH12" i="16"/>
  <c r="E43" i="16"/>
  <c r="BI11" i="16"/>
  <c r="BI12" i="16"/>
  <c r="E44" i="16"/>
  <c r="AY11" i="16"/>
  <c r="AY12" i="16"/>
  <c r="BD11" i="16"/>
  <c r="BD12" i="16"/>
  <c r="E39" i="16"/>
  <c r="BE11" i="16"/>
  <c r="BE12" i="16"/>
  <c r="E40" i="16"/>
  <c r="BF11" i="16"/>
  <c r="BF12" i="16"/>
  <c r="E41" i="16"/>
  <c r="E34" i="16"/>
  <c r="BJ15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E46" i="16"/>
  <c r="D49" i="16"/>
  <c r="K34" i="16"/>
  <c r="K36" i="16"/>
  <c r="G93" i="20"/>
  <c r="G97" i="20"/>
  <c r="G98" i="20"/>
  <c r="G96" i="20"/>
  <c r="G99" i="20"/>
</calcChain>
</file>

<file path=xl/sharedStrings.xml><?xml version="1.0" encoding="utf-8"?>
<sst xmlns="http://schemas.openxmlformats.org/spreadsheetml/2006/main" count="384" uniqueCount="266">
  <si>
    <t>Data</t>
  </si>
  <si>
    <t>Project emissions</t>
  </si>
  <si>
    <t>Baseline emissions</t>
  </si>
  <si>
    <t>Description</t>
  </si>
  <si>
    <t>Source/formula</t>
  </si>
  <si>
    <t xml:space="preserve">Leakage </t>
  </si>
  <si>
    <t>Unit</t>
  </si>
  <si>
    <t>%</t>
  </si>
  <si>
    <t>TJ/tonne</t>
  </si>
  <si>
    <t xml:space="preserve">Net calorific value of the non-renewable biomass that is substituted </t>
  </si>
  <si>
    <t>Calculated</t>
  </si>
  <si>
    <t>Relevant Section</t>
  </si>
  <si>
    <t>No.</t>
  </si>
  <si>
    <t>tonnes/HH/year</t>
  </si>
  <si>
    <t>Reference</t>
  </si>
  <si>
    <t>LPG</t>
  </si>
  <si>
    <t>Kerosene</t>
  </si>
  <si>
    <t>IPCC default</t>
  </si>
  <si>
    <t>FOOD AND AGRICULTURE ORGANIZATION OF THE UNITED NATIONS</t>
  </si>
  <si>
    <t>TJ/Gg</t>
  </si>
  <si>
    <t>IPCC default value</t>
  </si>
  <si>
    <t>Gg</t>
  </si>
  <si>
    <t>Methane avoidance</t>
  </si>
  <si>
    <t>TIER 1 approach</t>
  </si>
  <si>
    <t>Emission factor for the defined livestock population category T</t>
  </si>
  <si>
    <t>tonnes CH4/head/yr</t>
  </si>
  <si>
    <t>IPCC</t>
  </si>
  <si>
    <t>Start of implementation</t>
  </si>
  <si>
    <t>Summary:</t>
  </si>
  <si>
    <t>Cumulative nr. of digesters</t>
  </si>
  <si>
    <t>Nr. of digesters installed per year</t>
  </si>
  <si>
    <t>Combustion efficiency of the used type of biogas stove</t>
  </si>
  <si>
    <t>Biomass</t>
  </si>
  <si>
    <t>Fuel substitution</t>
  </si>
  <si>
    <t>Physical leakage of the biodigester (through measurement or application of 10% default)</t>
  </si>
  <si>
    <t>Stove Test Report, 2010</t>
  </si>
  <si>
    <t>ER potential :</t>
  </si>
  <si>
    <t>The number of dairy cows</t>
  </si>
  <si>
    <t>Net calorific value of fossil fuel</t>
  </si>
  <si>
    <t>The quantity of fossil fuel consumed in the baseline scenario 1</t>
  </si>
  <si>
    <t>The quantity of biomass consumed in the baseline scenario 1</t>
  </si>
  <si>
    <t>Fraction of non-renewable biomass</t>
  </si>
  <si>
    <t>Baseline CO2 emissions from the use of kerosene per houshold</t>
  </si>
  <si>
    <t>Baseline CO2 emissions from the use of LPG per houshold</t>
  </si>
  <si>
    <t>Baseline CO2 emissions from the use of NRB per houshold</t>
  </si>
  <si>
    <t>Total Baseline Emissions from fuel substitution under the VPA per household</t>
  </si>
  <si>
    <t>Total Baseline Emissions under the VPA per household</t>
  </si>
  <si>
    <t>The quantity of fossil fuel consumed in the project scenario 1</t>
  </si>
  <si>
    <t>Project CO2 emissions from the use of LPG per houshold</t>
  </si>
  <si>
    <t>Project CO2 emissions from the use of kerosene per houshold</t>
  </si>
  <si>
    <t>The quantity of biomass consumed in the project scenario 1</t>
  </si>
  <si>
    <t>Project CO2 emissions from the use of NRB per houshold</t>
  </si>
  <si>
    <t>Global Warming Potential of methane</t>
  </si>
  <si>
    <t>Total Baseline Emissions from methane avoidance under the VPA per household</t>
  </si>
  <si>
    <t>Total Project Emissions from methane avoidance under the VPA per household</t>
  </si>
  <si>
    <t>Total Project Emissions from fuel substitution under the VPA per household</t>
  </si>
  <si>
    <t>Total Project Emissions under the VPA per household</t>
  </si>
  <si>
    <t>Total Emission Reduction under the VPA per household</t>
  </si>
  <si>
    <t>Total Emission Reduction from fuel substitution under the VPA per household</t>
  </si>
  <si>
    <t>Total Emission Reduction from methane avoidance under the VPA per household</t>
  </si>
  <si>
    <t>Total Leakage Emissions under the VPA per household</t>
  </si>
  <si>
    <t>Total Leakage Emissions from fuel substitution under the VPA per household</t>
  </si>
  <si>
    <t>Total Leakage Emissions from methane avoidance under the VPA per household</t>
  </si>
  <si>
    <t>Emission reductions per VPA</t>
  </si>
  <si>
    <t>Cumulative operational rate</t>
  </si>
  <si>
    <t>Emission reductions per household</t>
  </si>
  <si>
    <t>Start</t>
  </si>
  <si>
    <t>End</t>
  </si>
  <si>
    <t># Digesters</t>
  </si>
  <si>
    <t>ERs</t>
  </si>
  <si>
    <t>Cumulative</t>
  </si>
  <si>
    <t>Cross check:</t>
  </si>
  <si>
    <r>
      <t>No</t>
    </r>
    <r>
      <rPr>
        <vertAlign val="subscript"/>
        <sz val="10"/>
        <color indexed="8"/>
        <rFont val="Arial"/>
        <family val="2"/>
      </rPr>
      <t>p1,y</t>
    </r>
  </si>
  <si>
    <r>
      <t>GWP</t>
    </r>
    <r>
      <rPr>
        <vertAlign val="subscript"/>
        <sz val="10"/>
        <color indexed="8"/>
        <rFont val="Arial"/>
        <family val="2"/>
      </rPr>
      <t>CH4</t>
    </r>
  </si>
  <si>
    <r>
      <t>N</t>
    </r>
    <r>
      <rPr>
        <vertAlign val="subscript"/>
        <sz val="10"/>
        <color indexed="8"/>
        <rFont val="Arial"/>
        <family val="2"/>
      </rPr>
      <t>t,h</t>
    </r>
  </si>
  <si>
    <r>
      <t>EF</t>
    </r>
    <r>
      <rPr>
        <vertAlign val="subscript"/>
        <sz val="10"/>
        <color indexed="8"/>
        <rFont val="Arial"/>
        <family val="2"/>
      </rPr>
      <t>awms,T</t>
    </r>
  </si>
  <si>
    <r>
      <t>BE</t>
    </r>
    <r>
      <rPr>
        <b/>
        <vertAlign val="subscript"/>
        <sz val="10"/>
        <color indexed="53"/>
        <rFont val="Arial"/>
        <family val="2"/>
      </rPr>
      <t>b1,CH4,y</t>
    </r>
  </si>
  <si>
    <r>
      <t>BB</t>
    </r>
    <r>
      <rPr>
        <vertAlign val="subscript"/>
        <sz val="10"/>
        <rFont val="Arial"/>
        <family val="2"/>
      </rPr>
      <t>b1,fuel</t>
    </r>
  </si>
  <si>
    <r>
      <t>NCV</t>
    </r>
    <r>
      <rPr>
        <vertAlign val="subscript"/>
        <sz val="10"/>
        <color indexed="8"/>
        <rFont val="Arial"/>
        <family val="2"/>
      </rPr>
      <t>fuel</t>
    </r>
  </si>
  <si>
    <r>
      <t>EF</t>
    </r>
    <r>
      <rPr>
        <vertAlign val="subscript"/>
        <sz val="10"/>
        <color indexed="8"/>
        <rFont val="Arial"/>
        <family val="2"/>
      </rPr>
      <t>b1,fuel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</si>
  <si>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 factor of fossil fuel in baseline scenario 1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</si>
  <si>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/TJ</t>
    </r>
  </si>
  <si>
    <r>
      <t>BE</t>
    </r>
    <r>
      <rPr>
        <vertAlign val="subscript"/>
        <sz val="10"/>
        <color indexed="8"/>
        <rFont val="Arial"/>
        <family val="2"/>
      </rPr>
      <t>CO2,y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</si>
  <si>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yr/hh</t>
    </r>
  </si>
  <si>
    <r>
      <t>BE</t>
    </r>
    <r>
      <rPr>
        <b/>
        <vertAlign val="subscript"/>
        <sz val="10"/>
        <color indexed="8"/>
        <rFont val="Arial"/>
        <family val="2"/>
      </rPr>
      <t>CO2,y</t>
    </r>
  </si>
  <si>
    <r>
      <t>Cumulative baseline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the use of FF during year y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</si>
  <si>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yr</t>
    </r>
  </si>
  <si>
    <r>
      <rPr>
        <i/>
        <sz val="10"/>
        <color indexed="8"/>
        <rFont val="Arial"/>
        <family val="2"/>
      </rPr>
      <t>f</t>
    </r>
    <r>
      <rPr>
        <vertAlign val="subscript"/>
        <sz val="10"/>
        <color indexed="8"/>
        <rFont val="Arial"/>
        <family val="2"/>
      </rPr>
      <t>NRB</t>
    </r>
  </si>
  <si>
    <r>
      <t>BB</t>
    </r>
    <r>
      <rPr>
        <vertAlign val="subscript"/>
        <sz val="10"/>
        <rFont val="Arial"/>
        <family val="2"/>
      </rPr>
      <t>b1,bio</t>
    </r>
  </si>
  <si>
    <r>
      <t>NCV</t>
    </r>
    <r>
      <rPr>
        <vertAlign val="subscript"/>
        <sz val="10"/>
        <color indexed="8"/>
        <rFont val="Arial"/>
        <family val="2"/>
      </rPr>
      <t>bio</t>
    </r>
  </si>
  <si>
    <r>
      <t>EF</t>
    </r>
    <r>
      <rPr>
        <vertAlign val="subscript"/>
        <sz val="10"/>
        <color indexed="8"/>
        <rFont val="Arial"/>
        <family val="2"/>
      </rPr>
      <t>b1,bio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</si>
  <si>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 factor of biomass in baseline scenario 1</t>
    </r>
  </si>
  <si>
    <r>
      <t>BE</t>
    </r>
    <r>
      <rPr>
        <b/>
        <vertAlign val="subscript"/>
        <sz val="10"/>
        <color indexed="17"/>
        <rFont val="Arial"/>
        <family val="2"/>
      </rPr>
      <t>b1,CO2,y + CH2,y</t>
    </r>
  </si>
  <si>
    <r>
      <t>tCO</t>
    </r>
    <r>
      <rPr>
        <vertAlign val="subscript"/>
        <sz val="10"/>
        <color indexed="17"/>
        <rFont val="Arial"/>
        <family val="2"/>
      </rPr>
      <t>2</t>
    </r>
    <r>
      <rPr>
        <sz val="10"/>
        <color indexed="17"/>
        <rFont val="Arial"/>
        <family val="2"/>
      </rPr>
      <t xml:space="preserve"> / yr</t>
    </r>
  </si>
  <si>
    <r>
      <t>PL</t>
    </r>
    <r>
      <rPr>
        <vertAlign val="subscript"/>
        <sz val="10"/>
        <rFont val="Arial"/>
        <family val="2"/>
      </rPr>
      <t>y</t>
    </r>
  </si>
  <si>
    <r>
      <t>η</t>
    </r>
    <r>
      <rPr>
        <vertAlign val="subscript"/>
        <sz val="10"/>
        <rFont val="Arial"/>
        <family val="2"/>
      </rPr>
      <t xml:space="preserve"> new stove</t>
    </r>
  </si>
  <si>
    <r>
      <t>PE</t>
    </r>
    <r>
      <rPr>
        <b/>
        <vertAlign val="subscript"/>
        <sz val="10"/>
        <color indexed="53"/>
        <rFont val="Arial"/>
        <family val="2"/>
      </rPr>
      <t>p1,CH4,y</t>
    </r>
  </si>
  <si>
    <r>
      <t>BB</t>
    </r>
    <r>
      <rPr>
        <vertAlign val="subscript"/>
        <sz val="10"/>
        <rFont val="Arial"/>
        <family val="2"/>
      </rPr>
      <t>p1,fuel</t>
    </r>
  </si>
  <si>
    <r>
      <t>EF</t>
    </r>
    <r>
      <rPr>
        <vertAlign val="subscript"/>
        <sz val="10"/>
        <color indexed="8"/>
        <rFont val="Arial"/>
        <family val="2"/>
      </rPr>
      <t>p1,fuel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</si>
  <si>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 factor of fossil fuel in project scenario 1</t>
    </r>
  </si>
  <si>
    <r>
      <t>PE</t>
    </r>
    <r>
      <rPr>
        <vertAlign val="subscript"/>
        <sz val="10"/>
        <color indexed="8"/>
        <rFont val="Arial"/>
        <family val="2"/>
      </rPr>
      <t>CO2,y</t>
    </r>
  </si>
  <si>
    <r>
      <t>PE</t>
    </r>
    <r>
      <rPr>
        <b/>
        <vertAlign val="subscript"/>
        <sz val="10"/>
        <color indexed="8"/>
        <rFont val="Arial"/>
        <family val="2"/>
      </rPr>
      <t>CO2,y</t>
    </r>
  </si>
  <si>
    <r>
      <t>Cumulative project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the use of FF during year y</t>
    </r>
  </si>
  <si>
    <r>
      <t>BB</t>
    </r>
    <r>
      <rPr>
        <vertAlign val="subscript"/>
        <sz val="10"/>
        <rFont val="Arial"/>
        <family val="2"/>
      </rPr>
      <t>p1,bio</t>
    </r>
  </si>
  <si>
    <r>
      <t>EF</t>
    </r>
    <r>
      <rPr>
        <vertAlign val="subscript"/>
        <sz val="10"/>
        <color indexed="8"/>
        <rFont val="Arial"/>
        <family val="2"/>
      </rPr>
      <t>p1,bio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</si>
  <si>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 factor of biomass in project scenario 1</t>
    </r>
  </si>
  <si>
    <r>
      <t>PE</t>
    </r>
    <r>
      <rPr>
        <b/>
        <vertAlign val="subscript"/>
        <sz val="10"/>
        <color indexed="17"/>
        <rFont val="Arial"/>
        <family val="2"/>
      </rPr>
      <t>p1 CO2,y + CH4,y</t>
    </r>
  </si>
  <si>
    <r>
      <t>LE</t>
    </r>
    <r>
      <rPr>
        <b/>
        <vertAlign val="subscript"/>
        <sz val="10"/>
        <color indexed="17"/>
        <rFont val="Arial"/>
        <family val="2"/>
      </rPr>
      <t>p1 CO2,y + CH4,y</t>
    </r>
  </si>
  <si>
    <r>
      <t>N</t>
    </r>
    <r>
      <rPr>
        <vertAlign val="subscript"/>
        <sz val="11"/>
        <rFont val="Arial"/>
        <family val="2"/>
      </rPr>
      <t>p1,y</t>
    </r>
  </si>
  <si>
    <t>Historical drop-off rate</t>
  </si>
  <si>
    <t>Project emissions from bio-slurry</t>
  </si>
  <si>
    <r>
      <t>1.</t>
    </r>
    <r>
      <rPr>
        <sz val="7"/>
        <rFont val="Times New Roman"/>
        <family val="1"/>
      </rPr>
      <t xml:space="preserve">     </t>
    </r>
    <r>
      <rPr>
        <u/>
        <sz val="11"/>
        <rFont val="Arial"/>
        <family val="2"/>
      </rPr>
      <t>Estimation of the total amount of VS entering the biodigester</t>
    </r>
  </si>
  <si>
    <r>
      <t>2.</t>
    </r>
    <r>
      <rPr>
        <sz val="7"/>
        <rFont val="Times New Roman"/>
        <family val="1"/>
      </rPr>
      <t xml:space="preserve">     </t>
    </r>
    <r>
      <rPr>
        <u/>
        <sz val="11"/>
        <rFont val="Arial"/>
        <family val="2"/>
      </rPr>
      <t>Assessment of remaining VS content of bio-slurry</t>
    </r>
  </si>
  <si>
    <r>
      <t>3.</t>
    </r>
    <r>
      <rPr>
        <sz val="7"/>
        <rFont val="Times New Roman"/>
        <family val="1"/>
      </rPr>
      <t xml:space="preserve">     </t>
    </r>
    <r>
      <rPr>
        <sz val="11"/>
        <rFont val="Arial"/>
        <family val="2"/>
      </rPr>
      <t>Assessment of the methane potential of bio-slurry</t>
    </r>
  </si>
  <si>
    <t>Animal T</t>
  </si>
  <si>
    <t>VS excretion</t>
  </si>
  <si>
    <t>kgVS/hd/day[1]</t>
  </si>
  <si>
    <t>Head/average biodigester</t>
  </si>
  <si>
    <t>Total  amount of VS excreted</t>
  </si>
  <si>
    <r>
      <t>kgVS.day</t>
    </r>
    <r>
      <rPr>
        <b/>
        <vertAlign val="superscript"/>
        <sz val="10"/>
        <color indexed="8"/>
        <rFont val="Arial"/>
        <family val="2"/>
      </rPr>
      <t>-1</t>
    </r>
  </si>
  <si>
    <r>
      <t>MS</t>
    </r>
    <r>
      <rPr>
        <b/>
        <vertAlign val="subscript"/>
        <sz val="10"/>
        <rFont val="Arial"/>
        <family val="2"/>
      </rPr>
      <t>T,S,k</t>
    </r>
    <r>
      <rPr>
        <b/>
        <sz val="10"/>
        <rFont val="Arial"/>
        <family val="2"/>
      </rPr>
      <t xml:space="preserve"> </t>
    </r>
  </si>
  <si>
    <t>Share fed into biodigester</t>
  </si>
  <si>
    <t>Total VS entering the biodigester</t>
  </si>
  <si>
    <t>A</t>
  </si>
  <si>
    <t>B</t>
  </si>
  <si>
    <t>AxB =C</t>
  </si>
  <si>
    <t>D</t>
  </si>
  <si>
    <t>CxD</t>
  </si>
  <si>
    <t>Dairy Cow</t>
  </si>
  <si>
    <t>Sum</t>
  </si>
  <si>
    <t>(A) Total VS entering the biodigester</t>
  </si>
  <si>
    <t>Digester efficiency</t>
  </si>
  <si>
    <t>(B) Total VS destroyed in the biodigester</t>
  </si>
  <si>
    <t>Total VS in bio-slurry</t>
  </si>
  <si>
    <t>Total VS in bio-slurry 
kgVS.day-1</t>
  </si>
  <si>
    <r>
      <t>F</t>
    </r>
    <r>
      <rPr>
        <b/>
        <vertAlign val="subscript"/>
        <sz val="10"/>
        <rFont val="Arial"/>
        <family val="2"/>
      </rPr>
      <t>ww,CH4,</t>
    </r>
  </si>
  <si>
    <t>Bo(T)</t>
  </si>
  <si>
    <r>
      <t>(m</t>
    </r>
    <r>
      <rPr>
        <b/>
        <vertAlign val="superscript"/>
        <sz val="10"/>
        <color indexed="8"/>
        <rFont val="Arial"/>
        <family val="2"/>
      </rPr>
      <t>3</t>
    </r>
    <r>
      <rPr>
        <b/>
        <sz val="10"/>
        <color indexed="8"/>
        <rFont val="Arial"/>
        <family val="2"/>
      </rPr>
      <t>CH4/kgVS)</t>
    </r>
  </si>
  <si>
    <r>
      <t>B</t>
    </r>
    <r>
      <rPr>
        <b/>
        <vertAlign val="subscript"/>
        <sz val="10"/>
        <rFont val="Arial"/>
        <family val="2"/>
      </rPr>
      <t>o,dig</t>
    </r>
    <r>
      <rPr>
        <b/>
        <sz val="10"/>
        <color indexed="8"/>
        <rFont val="Arial"/>
        <family val="2"/>
      </rPr>
      <t xml:space="preserve"> </t>
    </r>
  </si>
  <si>
    <t>Number</t>
  </si>
  <si>
    <t>Fraction</t>
  </si>
  <si>
    <r>
      <t>Average B</t>
    </r>
    <r>
      <rPr>
        <b/>
        <vertAlign val="subscript"/>
        <sz val="10"/>
        <rFont val="Arial"/>
        <family val="2"/>
      </rPr>
      <t>o,dig</t>
    </r>
    <r>
      <rPr>
        <b/>
        <sz val="10"/>
        <color indexed="8"/>
        <rFont val="Arial"/>
        <family val="2"/>
      </rPr>
      <t xml:space="preserve"> </t>
    </r>
  </si>
  <si>
    <r>
      <t>B</t>
    </r>
    <r>
      <rPr>
        <b/>
        <vertAlign val="subscript"/>
        <sz val="10"/>
        <rFont val="Arial"/>
        <family val="2"/>
      </rPr>
      <t>0,dig</t>
    </r>
    <r>
      <rPr>
        <b/>
        <sz val="10"/>
        <color indexed="8"/>
        <rFont val="Arial"/>
        <family val="2"/>
      </rPr>
      <t xml:space="preserve"> </t>
    </r>
  </si>
  <si>
    <t>∑DMSxMCF</t>
  </si>
  <si>
    <r>
      <t>D</t>
    </r>
    <r>
      <rPr>
        <b/>
        <vertAlign val="subscript"/>
        <sz val="10"/>
        <color indexed="8"/>
        <rFont val="Arial"/>
        <family val="2"/>
      </rPr>
      <t>CH4</t>
    </r>
  </si>
  <si>
    <r>
      <t>(kg/m</t>
    </r>
    <r>
      <rPr>
        <b/>
        <vertAlign val="superscript"/>
        <sz val="10"/>
        <color indexed="8"/>
        <rFont val="Arial"/>
        <family val="2"/>
      </rPr>
      <t>3</t>
    </r>
    <r>
      <rPr>
        <b/>
        <sz val="10"/>
        <color indexed="8"/>
        <rFont val="Arial"/>
        <family val="2"/>
      </rPr>
      <t>CH</t>
    </r>
    <r>
      <rPr>
        <b/>
        <vertAlign val="subscript"/>
        <sz val="10"/>
        <color indexed="8"/>
        <rFont val="Arial"/>
        <family val="2"/>
      </rPr>
      <t>4</t>
    </r>
    <r>
      <rPr>
        <b/>
        <sz val="10"/>
        <color indexed="8"/>
        <rFont val="Arial"/>
        <family val="2"/>
      </rPr>
      <t>)</t>
    </r>
  </si>
  <si>
    <t>Digester emissions</t>
  </si>
  <si>
    <r>
      <t>(tCO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/year/hh)</t>
    </r>
  </si>
  <si>
    <t>A general rule to emission sources it to rule them out if &lt;1% of total emission and for that reason the emissions from bio-slurry are not considered and included in the ER assessment.</t>
  </si>
  <si>
    <t>Are the emissions from bio-slurry  less than 1% of the total emission reductions of fuel switch and manure handling?</t>
  </si>
  <si>
    <t>Project emissions from bio-slurry:</t>
  </si>
  <si>
    <r>
      <t>No</t>
    </r>
    <r>
      <rPr>
        <vertAlign val="subscript"/>
        <sz val="10"/>
        <color indexed="8"/>
        <rFont val="Arial"/>
        <family val="2"/>
      </rPr>
      <t>p1,y</t>
    </r>
  </si>
  <si>
    <t xml:space="preserve">Cumulative number of project technologies included in the project
</t>
  </si>
  <si>
    <r>
      <t>O</t>
    </r>
    <r>
      <rPr>
        <vertAlign val="subscript"/>
        <sz val="10"/>
        <color indexed="8"/>
        <rFont val="Arial"/>
        <family val="2"/>
      </rPr>
      <t>p1,y</t>
    </r>
  </si>
  <si>
    <t>The average technology-days during which the biodigesters are operational</t>
  </si>
  <si>
    <t>Total Ers (adjusted for Op1,y)</t>
  </si>
  <si>
    <t>Bio-slurry</t>
  </si>
  <si>
    <t>Total Project Emissions from bio-slurry</t>
  </si>
  <si>
    <t>Digesters built</t>
  </si>
  <si>
    <t>Nr. of digesters installed (monthly)</t>
  </si>
  <si>
    <t>Nr. of digesters installed (cumulative)</t>
  </si>
  <si>
    <t>Average biodigester size</t>
  </si>
  <si>
    <t>m3</t>
  </si>
  <si>
    <t>units</t>
  </si>
  <si>
    <t>kWth</t>
  </si>
  <si>
    <t>Capacity average biodigester</t>
  </si>
  <si>
    <r>
      <rPr>
        <b/>
        <sz val="10"/>
        <rFont val="Arial"/>
        <family val="2"/>
      </rPr>
      <t>Threshold 1:</t>
    </r>
    <r>
      <rPr>
        <sz val="10"/>
        <rFont val="Arial"/>
        <family val="2"/>
      </rPr>
      <t xml:space="preserve"> Capacity total VPA-2</t>
    </r>
  </si>
  <si>
    <t>&lt;</t>
  </si>
  <si>
    <r>
      <rPr>
        <b/>
        <sz val="10"/>
        <rFont val="Arial"/>
        <family val="2"/>
      </rPr>
      <t>Threshold 2:</t>
    </r>
    <r>
      <rPr>
        <sz val="10"/>
        <rFont val="Arial"/>
        <family val="2"/>
      </rPr>
      <t xml:space="preserve"> Capacity less than 1%</t>
    </r>
  </si>
  <si>
    <r>
      <rPr>
        <b/>
        <sz val="10"/>
        <rFont val="Arial"/>
        <family val="2"/>
      </rPr>
      <t>Table:</t>
    </r>
    <r>
      <rPr>
        <sz val="10"/>
        <rFont val="Arial"/>
        <family val="2"/>
      </rPr>
      <t xml:space="preserve"> Data for 100m3 biodigesters</t>
    </r>
  </si>
  <si>
    <t>Where:</t>
  </si>
  <si>
    <t>Value:</t>
  </si>
  <si>
    <t>Comments:</t>
  </si>
  <si>
    <t>t = hours/day usage</t>
  </si>
  <si>
    <t>η = efficiency of stove</t>
  </si>
  <si>
    <r>
      <t>H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 heat of combustion per unit volume of biogas</t>
    </r>
  </si>
  <si>
    <r>
      <t xml:space="preserve">MJ/m3 </t>
    </r>
    <r>
      <rPr>
        <sz val="10"/>
        <color indexed="62"/>
        <rFont val="Arial"/>
        <family val="2"/>
      </rPr>
      <t>[1]</t>
    </r>
    <r>
      <rPr>
        <sz val="10"/>
        <rFont val="Arial"/>
        <family val="2"/>
      </rPr>
      <t xml:space="preserve">
Derived from IPCC defaults</t>
    </r>
  </si>
  <si>
    <r>
      <t>V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 volume of biogas</t>
    </r>
  </si>
  <si>
    <r>
      <t>E</t>
    </r>
    <r>
      <rPr>
        <sz val="10"/>
        <rFont val="Arial"/>
        <family val="2"/>
      </rPr>
      <t xml:space="preserve"> = Energy available from the biogas system</t>
    </r>
  </si>
  <si>
    <r>
      <t xml:space="preserve">MJ/day
Calculated </t>
    </r>
    <r>
      <rPr>
        <sz val="10"/>
        <color indexed="62"/>
        <rFont val="Arial"/>
        <family val="2"/>
      </rPr>
      <t>[3]</t>
    </r>
  </si>
  <si>
    <r>
      <t>E</t>
    </r>
    <r>
      <rPr>
        <b/>
        <vertAlign val="subscript"/>
        <sz val="10"/>
        <rFont val="Arial"/>
        <family val="2"/>
      </rPr>
      <t>th</t>
    </r>
    <r>
      <rPr>
        <b/>
        <sz val="10"/>
        <rFont val="Arial"/>
        <family val="2"/>
      </rPr>
      <t xml:space="preserve"> =</t>
    </r>
  </si>
  <si>
    <t>kWh/day
1 MJ = 0.2778 kWh</t>
  </si>
  <si>
    <r>
      <t>Th</t>
    </r>
    <r>
      <rPr>
        <b/>
        <vertAlign val="subscript"/>
        <sz val="10"/>
        <rFont val="Arial"/>
        <family val="2"/>
      </rPr>
      <t>cap</t>
    </r>
    <r>
      <rPr>
        <b/>
        <sz val="10"/>
        <rFont val="Arial"/>
        <family val="2"/>
      </rPr>
      <t xml:space="preserve"> =</t>
    </r>
  </si>
  <si>
    <t>[1] Methane has an energy value of 37.78 MJ/m3; thus, biogas at 55% CH4 has an energy value of 21 MJ/m3</t>
  </si>
  <si>
    <t>[2] Cow dung produces approximately 40 litres biogas per kg. Each m3 capacity of the biodigester needs 7.5 kg dung per day. Given a 100 m3 biodigester, 750 kg of cow dung per day is required. This translates into 30 m3 of gas produced per day.</t>
  </si>
  <si>
    <t>[3] Calculated as: 55% * 21 * 30</t>
  </si>
  <si>
    <t>calculation</t>
  </si>
  <si>
    <t>Source:</t>
  </si>
  <si>
    <t>Figure 2: Cumulative and monthly number of units installed until 31-12-2015</t>
  </si>
  <si>
    <t>Indonesian Government standard on stove
efficiency</t>
  </si>
  <si>
    <t>kWth
Given a 2.74 hour/day usage</t>
  </si>
  <si>
    <t>Dairy cow</t>
  </si>
  <si>
    <t>Total</t>
  </si>
  <si>
    <t>Time frame</t>
  </si>
  <si>
    <t>As per Gold Standard confirmation by email, the parameter ‘t’ can be fixed at value 2.74 going forward to enable the definition of the VPA-1 threshold. See email communication dated 11 April 2016</t>
  </si>
  <si>
    <t>(1) IPCC default values; Table 10A-4</t>
  </si>
  <si>
    <r>
      <t>BE</t>
    </r>
    <r>
      <rPr>
        <b/>
        <vertAlign val="subscript"/>
        <sz val="10"/>
        <color indexed="53"/>
        <rFont val="Arial"/>
        <family val="2"/>
      </rPr>
      <t>b1,CO2,y</t>
    </r>
  </si>
  <si>
    <r>
      <t>LE</t>
    </r>
    <r>
      <rPr>
        <b/>
        <vertAlign val="subscript"/>
        <sz val="10"/>
        <color indexed="53"/>
        <rFont val="Arial"/>
        <family val="2"/>
      </rPr>
      <t>p1 CH4,y</t>
    </r>
  </si>
  <si>
    <r>
      <t>LE</t>
    </r>
    <r>
      <rPr>
        <b/>
        <vertAlign val="subscript"/>
        <sz val="10"/>
        <color indexed="53"/>
        <rFont val="Arial"/>
        <family val="2"/>
      </rPr>
      <t>p1 CO2,y</t>
    </r>
  </si>
  <si>
    <r>
      <t>PE</t>
    </r>
    <r>
      <rPr>
        <b/>
        <vertAlign val="subscript"/>
        <sz val="10"/>
        <color indexed="53"/>
        <rFont val="Arial"/>
        <family val="2"/>
      </rPr>
      <t>p1 CO2,y</t>
    </r>
  </si>
  <si>
    <r>
      <t>PE</t>
    </r>
    <r>
      <rPr>
        <b/>
        <vertAlign val="subscript"/>
        <sz val="10"/>
        <color indexed="53"/>
        <rFont val="Arial"/>
        <family val="2"/>
      </rPr>
      <t>p1 bio-slurry</t>
    </r>
  </si>
  <si>
    <t>ERs digesters</t>
  </si>
  <si>
    <r>
      <t>tCO</t>
    </r>
    <r>
      <rPr>
        <vertAlign val="subscript"/>
        <sz val="10"/>
        <color indexed="53"/>
        <rFont val="Arial"/>
        <family val="2"/>
      </rPr>
      <t>2</t>
    </r>
    <r>
      <rPr>
        <sz val="10"/>
        <color indexed="53"/>
        <rFont val="Arial"/>
        <family val="2"/>
      </rPr>
      <t xml:space="preserve"> / yr/hh</t>
    </r>
  </si>
  <si>
    <r>
      <t>tCO</t>
    </r>
    <r>
      <rPr>
        <vertAlign val="subscript"/>
        <sz val="10"/>
        <color indexed="53"/>
        <rFont val="Arial"/>
        <family val="2"/>
      </rPr>
      <t>2</t>
    </r>
    <r>
      <rPr>
        <sz val="10"/>
        <color indexed="53"/>
        <rFont val="Arial"/>
        <family val="2"/>
      </rPr>
      <t xml:space="preserve"> / yr</t>
    </r>
  </si>
  <si>
    <t xml:space="preserve"> </t>
  </si>
  <si>
    <t>Overview per type:</t>
  </si>
  <si>
    <t>total annual ER</t>
  </si>
  <si>
    <t>Annual overview:</t>
  </si>
  <si>
    <t>total leakage emissions</t>
  </si>
  <si>
    <t>2017 Vintage</t>
  </si>
  <si>
    <t>ERs 2017:</t>
  </si>
  <si>
    <t>ERs 2024:</t>
  </si>
  <si>
    <t>ERs 2023:</t>
  </si>
  <si>
    <t>ERs 2022:</t>
  </si>
  <si>
    <t>ERs 2021:</t>
  </si>
  <si>
    <t>ERs 2020:</t>
  </si>
  <si>
    <t>ERs 2019:</t>
  </si>
  <si>
    <t>ERs 2018:</t>
  </si>
  <si>
    <t>Cumulative size</t>
  </si>
  <si>
    <t>2018 Vintage</t>
  </si>
  <si>
    <t>Break-down per vintage, VPA-2</t>
  </si>
  <si>
    <t>Number of biodigesters VPA-2</t>
  </si>
  <si>
    <t>Month of VPA2</t>
  </si>
  <si>
    <t>Number of digesters implemented under VPA2</t>
  </si>
  <si>
    <t>2019 Vintage</t>
  </si>
  <si>
    <t>MP1</t>
  </si>
  <si>
    <t>MP2</t>
  </si>
  <si>
    <t>MP3</t>
  </si>
  <si>
    <t>01/07/2017 – 30/06/2018</t>
  </si>
  <si>
    <t xml:space="preserve">AxB </t>
  </si>
  <si>
    <t>Source of drop-off %:</t>
  </si>
  <si>
    <t>Units installed</t>
  </si>
  <si>
    <t>Cumulative project operational rate (no adjusted for Op1,y)</t>
  </si>
  <si>
    <t>2020 Vintage</t>
  </si>
  <si>
    <t>MP4</t>
  </si>
  <si>
    <t>02/01/2017 – 30/06/2017</t>
  </si>
  <si>
    <t>total ERs from CH4 avoidance</t>
  </si>
  <si>
    <t>total ERs from fuel use</t>
  </si>
  <si>
    <t>total baseline emissions</t>
  </si>
  <si>
    <t>after correcting for average drop-off rate</t>
  </si>
  <si>
    <t>total project emissions</t>
  </si>
  <si>
    <t>Usage rate</t>
  </si>
  <si>
    <t>MP5</t>
  </si>
  <si>
    <t>2021 Vintage</t>
  </si>
  <si>
    <r>
      <t xml:space="preserve">“20220201_IDBP_Database_VPA2.xlsx” sheet 'Master VPA-2' </t>
    </r>
    <r>
      <rPr>
        <sz val="10"/>
        <rFont val="Arial"/>
        <family val="2"/>
      </rPr>
      <t>cell H6758</t>
    </r>
  </si>
  <si>
    <t>20220420 BUS_Tabulation 2021 | sheet Tabulation | cell AB119</t>
  </si>
  <si>
    <t>Biogas KPT &amp; Non 2021| sheet 90-30 test | cell L50</t>
  </si>
  <si>
    <t>Biogas KPT &amp; Non 2021| sheet 90-30 test | cell I50</t>
  </si>
  <si>
    <t>Biogas KPT &amp; Non 2021| sheet 90-30 test | cell F50</t>
  </si>
  <si>
    <t>Biogas KPT &amp; Non 2021| sheet 90-30 test | cell AC103</t>
  </si>
  <si>
    <t>Biogas KPT &amp; Non 2021| sheet 90-30 test | cell Z103</t>
  </si>
  <si>
    <t>Biogas KPT &amp; Non 2021| sheet 90-30 test | cell W103</t>
  </si>
  <si>
    <r>
      <t xml:space="preserve">Calculated </t>
    </r>
    <r>
      <rPr>
        <sz val="10"/>
        <rFont val="Arial"/>
        <family val="2"/>
      </rPr>
      <t>-  See “20220201_IDBP_Database_VPA2” | sheet “PLANTMAINT” | cell L42301(for the '1102 units')</t>
    </r>
  </si>
  <si>
    <r>
      <t xml:space="preserve">Calculated - </t>
    </r>
    <r>
      <rPr>
        <sz val="10"/>
        <color indexed="8"/>
        <rFont val="Arial"/>
        <family val="2"/>
      </rPr>
      <t>See 20220420 Leakage 2021, Sheet "fuel_use" (LPG : 7/140 hhs and 3.11 kg p/d - Firewood:  3/140 hhs and 28,67 kg p/w , Kerosene: 1/140 hhs and 4 liter p/d)</t>
    </r>
  </si>
  <si>
    <r>
      <t xml:space="preserve">As per “20220201_IDBP_Database_VPA2.xls” sheet 'Master VPA-2' </t>
    </r>
    <r>
      <rPr>
        <sz val="10"/>
        <rFont val="Arial"/>
        <family val="2"/>
      </rPr>
      <t>cell L6699</t>
    </r>
  </si>
  <si>
    <t>As per “20220201_IDBP_Database_VPA2.xls” sheet 'Master VPA-2' cell H6758</t>
  </si>
  <si>
    <t>Source: "20220420 BUS_Tabulation 2021 ” sheet “Tabulation” cell V273</t>
  </si>
  <si>
    <t>Source: "20220420 BUS_Tabulation 2021 ” sheet “Tabulation” cell T323</t>
  </si>
  <si>
    <r>
      <t xml:space="preserve">Calculated </t>
    </r>
    <r>
      <rPr>
        <sz val="10"/>
        <rFont val="Arial"/>
        <family val="2"/>
      </rPr>
      <t>- see sheet 'Bio-slurry | 2021'</t>
    </r>
  </si>
  <si>
    <t>"20220420 BUS_Tabulation 2021" Sheet "Drop-off"</t>
  </si>
  <si>
    <r>
      <t>Cow dung produces approximately 40 litres biogas per kg. Each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capacity of the biodigester needs 7.5 kg dung per day. Given an average biodigester size of 4.26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31.950</t>
    </r>
    <r>
      <rPr>
        <sz val="10"/>
        <rFont val="Arial"/>
        <family val="2"/>
      </rPr>
      <t xml:space="preserve"> kg of cow dung per day is required. This translates into approx. 1.50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of gas produced per day. See Document P_Biogas_as_renewable_energy _2005.pdf, pages 79 and 140.</t>
    </r>
  </si>
  <si>
    <t>01/07/2018 – 30/06/2019</t>
  </si>
  <si>
    <t>01/07/2019 – 30/06/2020</t>
  </si>
  <si>
    <t>01/07/2020 – 31/12/2021</t>
  </si>
  <si>
    <r>
      <t>4.</t>
    </r>
    <r>
      <rPr>
        <sz val="7"/>
        <rFont val="Times New Roman"/>
        <family val="1"/>
      </rPr>
      <t xml:space="preserve">     </t>
    </r>
    <r>
      <rPr>
        <sz val="11"/>
        <rFont val="Arial"/>
        <family val="2"/>
      </rPr>
      <t>Calculation of bio-slurry emissions (CH4 GWP 28)</t>
    </r>
  </si>
  <si>
    <t>Total emission reductions (using GWP 28 for methane):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</si>
</sst>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72" formatCode="_ * #,##0.00_ ;_ * \-#,##0.00_ ;_ * &quot;-&quot;??_ ;_ @_ "/>
    <numFmt numFmtId="173" formatCode="0.000"/>
    <numFmt numFmtId="174" formatCode="0.0%"/>
    <numFmt numFmtId="175" formatCode="_(* #,##0.000_);_(* \(#,##0.000\);_(* &quot;-&quot;??_);_(@_)"/>
    <numFmt numFmtId="176" formatCode="_(* #,##0_);_(* \(#,##0\);_(* &quot;-&quot;??_);_(@_)"/>
    <numFmt numFmtId="177" formatCode="0.000%"/>
    <numFmt numFmtId="178" formatCode="_-* #,##0_-;\-* #,##0_-;_-* &quot;-&quot;??_-;_-@_-"/>
    <numFmt numFmtId="179" formatCode="_ * #,##0.000_ ;_ * \-#,##0.000_ ;_ * &quot;-&quot;??_ ;_ @_ "/>
    <numFmt numFmtId="180" formatCode="_ * #,##0.0000_ ;_ * \-#,##0.0000_ ;_ * &quot;-&quot;??_ ;_ @_ "/>
    <numFmt numFmtId="181" formatCode="0.0"/>
    <numFmt numFmtId="183" formatCode="_-* #,##0.00\ _€_-;\-* #,##0.00\ _€_-;_-* &quot;-&quot;??\ _€_-;_-@_-"/>
    <numFmt numFmtId="185" formatCode="_-* #,##0\ _€_-;\-* #,##0\ _€_-;_-* &quot;-&quot;??\ _€_-;_-@_-"/>
    <numFmt numFmtId="188" formatCode="_ * #,##0_ ;_ * \-#,##0_ ;_ * &quot;-&quot;??_ ;_ @_ "/>
    <numFmt numFmtId="189" formatCode="0.0000%"/>
  </numFmts>
  <fonts count="66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color indexed="17"/>
      <name val="Arial"/>
      <family val="2"/>
    </font>
    <font>
      <vertAlign val="subscript"/>
      <sz val="10"/>
      <color indexed="8"/>
      <name val="Arial"/>
      <family val="2"/>
    </font>
    <font>
      <b/>
      <vertAlign val="subscript"/>
      <sz val="10"/>
      <color indexed="53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  <font>
      <b/>
      <vertAlign val="subscript"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vertAlign val="subscript"/>
      <sz val="10"/>
      <color indexed="17"/>
      <name val="Arial"/>
      <family val="2"/>
    </font>
    <font>
      <vertAlign val="subscript"/>
      <sz val="10"/>
      <color indexed="17"/>
      <name val="Arial"/>
      <family val="2"/>
    </font>
    <font>
      <vertAlign val="subscript"/>
      <sz val="11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7"/>
      <name val="Times New Roman"/>
      <family val="1"/>
    </font>
    <font>
      <u/>
      <sz val="11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vertAlign val="subscript"/>
      <sz val="10"/>
      <color indexed="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vertAlign val="subscript"/>
      <sz val="10"/>
      <color indexed="53"/>
      <name val="Arial"/>
      <family val="2"/>
    </font>
    <font>
      <b/>
      <vertAlign val="subscript"/>
      <sz val="10"/>
      <color indexed="53"/>
      <name val="Arial"/>
      <family val="2"/>
    </font>
    <font>
      <sz val="10"/>
      <color indexed="53"/>
      <name val="Arial"/>
      <family val="2"/>
    </font>
    <font>
      <vertAlign val="subscript"/>
      <sz val="10"/>
      <color indexed="53"/>
      <name val="Arial"/>
      <family val="2"/>
    </font>
    <font>
      <sz val="10"/>
      <color rgb="FF00B050"/>
      <name val="Arial"/>
      <family val="2"/>
    </font>
    <font>
      <b/>
      <sz val="10"/>
      <color theme="0" tint="-0.34998626667073579"/>
      <name val="FoundrySans-Normal"/>
      <family val="2"/>
    </font>
    <font>
      <sz val="10"/>
      <color theme="0" tint="-0.34998626667073579"/>
      <name val="FoundrySans-Normal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i/>
      <sz val="10"/>
      <color theme="7" tint="0.39997558519241921"/>
      <name val="Arial"/>
      <family val="2"/>
    </font>
    <font>
      <b/>
      <sz val="10"/>
      <color theme="9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00B050"/>
      <name val="Arial"/>
      <family val="2"/>
    </font>
    <font>
      <sz val="10"/>
      <color theme="0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b/>
      <sz val="10"/>
      <color theme="0" tint="-0.499984740745262"/>
      <name val="FoundrySans-Normal"/>
      <family val="2"/>
    </font>
    <font>
      <sz val="10"/>
      <color theme="0" tint="-0.499984740745262"/>
      <name val="FoundrySans-Normal"/>
      <family val="2"/>
    </font>
    <font>
      <i/>
      <sz val="10"/>
      <color theme="0" tint="-0.499984740745262"/>
      <name val="Arial"/>
      <family val="2"/>
    </font>
    <font>
      <b/>
      <sz val="10"/>
      <color theme="0" tint="-4.9989318521683403E-2"/>
      <name val="FoundrySans-Norm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FoundrySans-Norm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sz val="10"/>
      <color theme="1"/>
      <name val="Arial"/>
      <family val="2"/>
    </font>
    <font>
      <sz val="10"/>
      <color theme="1"/>
      <name val="FoundrySans-Normal"/>
      <family val="2"/>
    </font>
    <font>
      <b/>
      <sz val="10"/>
      <color theme="0" tint="-0.34998626667073579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i/>
      <sz val="10"/>
      <color theme="0" tint="-0.1499984740745262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4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176" fontId="0" fillId="2" borderId="0" xfId="0" applyNumberFormat="1" applyFill="1" applyBorder="1"/>
    <xf numFmtId="0" fontId="4" fillId="2" borderId="0" xfId="0" applyFont="1" applyFill="1" applyBorder="1" applyAlignment="1">
      <alignment horizontal="right"/>
    </xf>
    <xf numFmtId="176" fontId="7" fillId="2" borderId="0" xfId="1" applyNumberFormat="1" applyFont="1" applyFill="1" applyBorder="1"/>
    <xf numFmtId="0" fontId="0" fillId="2" borderId="2" xfId="0" applyFill="1" applyBorder="1"/>
    <xf numFmtId="0" fontId="3" fillId="2" borderId="0" xfId="0" applyFont="1" applyFill="1" applyBorder="1"/>
    <xf numFmtId="0" fontId="0" fillId="2" borderId="0" xfId="0" applyFill="1"/>
    <xf numFmtId="1" fontId="0" fillId="2" borderId="0" xfId="0" applyNumberFormat="1" applyFill="1"/>
    <xf numFmtId="0" fontId="3" fillId="2" borderId="0" xfId="0" applyFont="1" applyFill="1"/>
    <xf numFmtId="0" fontId="0" fillId="2" borderId="3" xfId="0" applyFill="1" applyBorder="1"/>
    <xf numFmtId="0" fontId="35" fillId="2" borderId="0" xfId="0" applyFont="1" applyFill="1" applyBorder="1"/>
    <xf numFmtId="0" fontId="35" fillId="2" borderId="0" xfId="0" applyFont="1" applyFill="1"/>
    <xf numFmtId="0" fontId="35" fillId="0" borderId="0" xfId="0" applyFont="1"/>
    <xf numFmtId="0" fontId="4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/>
    <xf numFmtId="17" fontId="3" fillId="2" borderId="0" xfId="0" applyNumberFormat="1" applyFont="1" applyFill="1" applyBorder="1"/>
    <xf numFmtId="43" fontId="0" fillId="2" borderId="0" xfId="0" applyNumberFormat="1" applyFill="1"/>
    <xf numFmtId="176" fontId="0" fillId="2" borderId="0" xfId="0" applyNumberFormat="1" applyFill="1"/>
    <xf numFmtId="176" fontId="3" fillId="2" borderId="0" xfId="1" applyNumberFormat="1" applyFont="1" applyFill="1" applyAlignment="1">
      <alignment horizontal="left"/>
    </xf>
    <xf numFmtId="1" fontId="0" fillId="2" borderId="0" xfId="0" applyNumberFormat="1" applyFill="1" applyBorder="1"/>
    <xf numFmtId="0" fontId="36" fillId="2" borderId="0" xfId="0" applyFont="1" applyFill="1" applyBorder="1" applyAlignment="1">
      <alignment horizontal="justify" vertical="top" wrapText="1"/>
    </xf>
    <xf numFmtId="3" fontId="37" fillId="2" borderId="0" xfId="0" applyNumberFormat="1" applyFont="1" applyFill="1" applyBorder="1" applyAlignment="1">
      <alignment horizontal="justify" vertical="top" wrapText="1"/>
    </xf>
    <xf numFmtId="0" fontId="4" fillId="2" borderId="0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76" fontId="0" fillId="2" borderId="6" xfId="0" applyNumberFormat="1" applyFill="1" applyBorder="1"/>
    <xf numFmtId="176" fontId="4" fillId="2" borderId="7" xfId="0" applyNumberFormat="1" applyFont="1" applyFill="1" applyBorder="1"/>
    <xf numFmtId="0" fontId="4" fillId="2" borderId="8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 applyAlignment="1">
      <alignment vertical="top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top"/>
    </xf>
    <xf numFmtId="0" fontId="0" fillId="2" borderId="0" xfId="0" applyFont="1" applyFill="1" applyAlignment="1">
      <alignment vertical="top"/>
    </xf>
    <xf numFmtId="0" fontId="4" fillId="3" borderId="57" xfId="0" applyFont="1" applyFill="1" applyBorder="1" applyAlignment="1">
      <alignment vertical="top" wrapText="1"/>
    </xf>
    <xf numFmtId="0" fontId="4" fillId="3" borderId="58" xfId="0" applyFont="1" applyFill="1" applyBorder="1" applyAlignment="1">
      <alignment vertical="top" wrapText="1"/>
    </xf>
    <xf numFmtId="0" fontId="4" fillId="3" borderId="58" xfId="0" applyFont="1" applyFill="1" applyBorder="1" applyAlignment="1">
      <alignment vertical="center"/>
    </xf>
    <xf numFmtId="0" fontId="4" fillId="3" borderId="58" xfId="0" applyFont="1" applyFill="1" applyBorder="1" applyAlignment="1">
      <alignment horizontal="left" vertical="top"/>
    </xf>
    <xf numFmtId="0" fontId="4" fillId="3" borderId="58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2" borderId="59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38" fillId="2" borderId="0" xfId="0" applyFont="1" applyFill="1" applyBorder="1" applyAlignment="1">
      <alignment vertical="top"/>
    </xf>
    <xf numFmtId="0" fontId="0" fillId="2" borderId="60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4" fillId="4" borderId="61" xfId="0" applyFont="1" applyFill="1" applyBorder="1" applyAlignment="1">
      <alignment vertical="top"/>
    </xf>
    <xf numFmtId="0" fontId="4" fillId="2" borderId="62" xfId="0" applyFont="1" applyFill="1" applyBorder="1" applyAlignment="1">
      <alignment vertical="top"/>
    </xf>
    <xf numFmtId="0" fontId="0" fillId="2" borderId="9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vertical="center" wrapText="1"/>
    </xf>
    <xf numFmtId="174" fontId="0" fillId="2" borderId="63" xfId="0" applyNumberFormat="1" applyFont="1" applyFill="1" applyBorder="1" applyAlignment="1">
      <alignment horizontal="left" vertical="top"/>
    </xf>
    <xf numFmtId="174" fontId="0" fillId="2" borderId="0" xfId="0" applyNumberFormat="1" applyFont="1" applyFill="1" applyBorder="1" applyAlignment="1">
      <alignment horizontal="left" vertical="top"/>
    </xf>
    <xf numFmtId="2" fontId="0" fillId="2" borderId="64" xfId="0" applyNumberFormat="1" applyFont="1" applyFill="1" applyBorder="1" applyAlignment="1">
      <alignment vertical="top"/>
    </xf>
    <xf numFmtId="0" fontId="39" fillId="2" borderId="9" xfId="0" applyFont="1" applyFill="1" applyBorder="1" applyAlignment="1">
      <alignment vertical="top"/>
    </xf>
    <xf numFmtId="2" fontId="0" fillId="2" borderId="63" xfId="0" applyNumberFormat="1" applyFont="1" applyFill="1" applyBorder="1" applyAlignment="1">
      <alignment horizontal="left" vertical="top"/>
    </xf>
    <xf numFmtId="2" fontId="0" fillId="2" borderId="0" xfId="0" applyNumberFormat="1" applyFont="1" applyFill="1" applyBorder="1" applyAlignment="1">
      <alignment horizontal="left" vertical="top" wrapText="1"/>
    </xf>
    <xf numFmtId="0" fontId="2" fillId="2" borderId="0" xfId="3" applyFont="1" applyFill="1" applyBorder="1" applyAlignment="1" applyProtection="1">
      <alignment vertical="top"/>
    </xf>
    <xf numFmtId="174" fontId="0" fillId="2" borderId="64" xfId="0" applyNumberFormat="1" applyFont="1" applyFill="1" applyBorder="1" applyAlignment="1">
      <alignment vertical="top"/>
    </xf>
    <xf numFmtId="0" fontId="40" fillId="2" borderId="9" xfId="0" applyFont="1" applyFill="1" applyBorder="1" applyAlignment="1">
      <alignment vertical="top"/>
    </xf>
    <xf numFmtId="0" fontId="3" fillId="2" borderId="63" xfId="1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2" fontId="4" fillId="2" borderId="64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horizontal="left" vertical="center" wrapText="1"/>
    </xf>
    <xf numFmtId="9" fontId="0" fillId="2" borderId="63" xfId="0" applyNumberFormat="1" applyFont="1" applyFill="1" applyBorder="1" applyAlignment="1">
      <alignment horizontal="left" vertical="top"/>
    </xf>
    <xf numFmtId="0" fontId="3" fillId="2" borderId="0" xfId="3" applyFont="1" applyFill="1" applyBorder="1" applyAlignment="1" applyProtection="1">
      <alignment vertical="top"/>
    </xf>
    <xf numFmtId="174" fontId="4" fillId="2" borderId="64" xfId="0" applyNumberFormat="1" applyFont="1" applyFill="1" applyBorder="1" applyAlignment="1">
      <alignment vertical="top"/>
    </xf>
    <xf numFmtId="0" fontId="41" fillId="2" borderId="0" xfId="0" applyFont="1" applyFill="1" applyBorder="1" applyAlignment="1">
      <alignment vertical="top"/>
    </xf>
    <xf numFmtId="0" fontId="41" fillId="2" borderId="59" xfId="0" applyFont="1" applyFill="1" applyBorder="1" applyAlignment="1">
      <alignment vertical="center"/>
    </xf>
    <xf numFmtId="0" fontId="42" fillId="2" borderId="59" xfId="0" applyFont="1" applyFill="1" applyBorder="1" applyAlignment="1">
      <alignment vertical="top"/>
    </xf>
    <xf numFmtId="2" fontId="43" fillId="2" borderId="0" xfId="0" applyNumberFormat="1" applyFont="1" applyFill="1" applyBorder="1" applyAlignment="1">
      <alignment horizontal="left" vertical="top"/>
    </xf>
    <xf numFmtId="2" fontId="0" fillId="2" borderId="0" xfId="0" applyNumberFormat="1" applyFont="1" applyFill="1" applyBorder="1" applyAlignment="1">
      <alignment horizontal="left" vertical="top"/>
    </xf>
    <xf numFmtId="0" fontId="0" fillId="2" borderId="63" xfId="0" applyFont="1" applyFill="1" applyBorder="1" applyAlignment="1">
      <alignment horizontal="left" vertical="top"/>
    </xf>
    <xf numFmtId="0" fontId="0" fillId="2" borderId="59" xfId="0" applyFont="1" applyFill="1" applyBorder="1" applyAlignment="1">
      <alignment vertical="center"/>
    </xf>
    <xf numFmtId="0" fontId="44" fillId="2" borderId="0" xfId="0" applyFont="1" applyFill="1" applyBorder="1" applyAlignment="1">
      <alignment vertical="top"/>
    </xf>
    <xf numFmtId="0" fontId="4" fillId="2" borderId="59" xfId="0" applyFont="1" applyFill="1" applyBorder="1" applyAlignment="1">
      <alignment vertical="center"/>
    </xf>
    <xf numFmtId="176" fontId="4" fillId="2" borderId="65" xfId="1" applyNumberFormat="1" applyFont="1" applyFill="1" applyBorder="1" applyAlignment="1">
      <alignment horizontal="left" vertical="top"/>
    </xf>
    <xf numFmtId="173" fontId="4" fillId="2" borderId="0" xfId="0" applyNumberFormat="1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center"/>
    </xf>
    <xf numFmtId="0" fontId="4" fillId="2" borderId="63" xfId="1" applyNumberFormat="1" applyFont="1" applyFill="1" applyBorder="1" applyAlignment="1">
      <alignment horizontal="left" vertical="top"/>
    </xf>
    <xf numFmtId="0" fontId="15" fillId="2" borderId="0" xfId="0" applyFont="1" applyFill="1" applyBorder="1" applyAlignment="1">
      <alignment vertical="top"/>
    </xf>
    <xf numFmtId="0" fontId="0" fillId="0" borderId="63" xfId="0" applyFont="1" applyFill="1" applyBorder="1" applyAlignment="1">
      <alignment horizontal="left" vertical="top"/>
    </xf>
    <xf numFmtId="0" fontId="0" fillId="2" borderId="64" xfId="0" applyFont="1" applyFill="1" applyBorder="1" applyAlignment="1">
      <alignment vertical="top"/>
    </xf>
    <xf numFmtId="2" fontId="42" fillId="2" borderId="0" xfId="0" applyNumberFormat="1" applyFont="1" applyFill="1" applyBorder="1" applyAlignment="1">
      <alignment horizontal="left" vertical="top"/>
    </xf>
    <xf numFmtId="0" fontId="42" fillId="2" borderId="0" xfId="0" applyFont="1" applyFill="1" applyBorder="1" applyAlignment="1">
      <alignment vertical="top"/>
    </xf>
    <xf numFmtId="43" fontId="4" fillId="2" borderId="0" xfId="1" applyFont="1" applyFill="1" applyBorder="1" applyAlignment="1">
      <alignment horizontal="left" vertical="top"/>
    </xf>
    <xf numFmtId="0" fontId="0" fillId="2" borderId="10" xfId="0" applyFont="1" applyFill="1" applyBorder="1" applyAlignment="1">
      <alignment vertical="top"/>
    </xf>
    <xf numFmtId="0" fontId="45" fillId="2" borderId="11" xfId="0" applyFont="1" applyFill="1" applyBorder="1" applyAlignment="1">
      <alignment vertical="top"/>
    </xf>
    <xf numFmtId="0" fontId="45" fillId="2" borderId="11" xfId="0" applyFont="1" applyFill="1" applyBorder="1" applyAlignment="1">
      <alignment vertical="center"/>
    </xf>
    <xf numFmtId="2" fontId="35" fillId="2" borderId="11" xfId="0" applyNumberFormat="1" applyFont="1" applyFill="1" applyBorder="1" applyAlignment="1">
      <alignment horizontal="left" vertical="top"/>
    </xf>
    <xf numFmtId="0" fontId="35" fillId="2" borderId="11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4" fillId="4" borderId="13" xfId="0" applyFont="1" applyFill="1" applyBorder="1" applyAlignment="1">
      <alignment vertical="top"/>
    </xf>
    <xf numFmtId="0" fontId="4" fillId="2" borderId="66" xfId="0" applyFont="1" applyFill="1" applyBorder="1" applyAlignment="1">
      <alignment vertical="top"/>
    </xf>
    <xf numFmtId="0" fontId="0" fillId="2" borderId="67" xfId="0" applyFont="1" applyFill="1" applyBorder="1" applyAlignment="1">
      <alignment vertical="top"/>
    </xf>
    <xf numFmtId="0" fontId="0" fillId="2" borderId="66" xfId="0" applyFont="1" applyFill="1" applyBorder="1" applyAlignment="1">
      <alignment vertical="top"/>
    </xf>
    <xf numFmtId="9" fontId="3" fillId="2" borderId="0" xfId="1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justify" vertical="center"/>
    </xf>
    <xf numFmtId="174" fontId="4" fillId="2" borderId="0" xfId="0" applyNumberFormat="1" applyFont="1" applyFill="1" applyBorder="1" applyAlignment="1">
      <alignment vertical="top"/>
    </xf>
    <xf numFmtId="174" fontId="4" fillId="2" borderId="11" xfId="0" applyNumberFormat="1" applyFont="1" applyFill="1" applyBorder="1" applyAlignment="1">
      <alignment vertical="top"/>
    </xf>
    <xf numFmtId="43" fontId="4" fillId="5" borderId="0" xfId="1" applyFont="1" applyFill="1" applyBorder="1" applyAlignment="1">
      <alignment horizontal="right" vertical="top"/>
    </xf>
    <xf numFmtId="175" fontId="4" fillId="5" borderId="0" xfId="1" applyNumberFormat="1" applyFont="1" applyFill="1" applyBorder="1" applyAlignment="1">
      <alignment horizontal="left" vertical="top"/>
    </xf>
    <xf numFmtId="175" fontId="4" fillId="6" borderId="11" xfId="1" applyNumberFormat="1" applyFont="1" applyFill="1" applyBorder="1" applyAlignment="1">
      <alignment horizontal="left" vertical="top"/>
    </xf>
    <xf numFmtId="0" fontId="45" fillId="2" borderId="0" xfId="0" applyFont="1" applyFill="1" applyBorder="1" applyAlignment="1">
      <alignment vertical="top"/>
    </xf>
    <xf numFmtId="0" fontId="41" fillId="2" borderId="65" xfId="0" applyFont="1" applyFill="1" applyBorder="1" applyAlignment="1">
      <alignment vertical="center"/>
    </xf>
    <xf numFmtId="0" fontId="45" fillId="2" borderId="59" xfId="0" applyFont="1" applyFill="1" applyBorder="1" applyAlignment="1">
      <alignment vertical="top"/>
    </xf>
    <xf numFmtId="0" fontId="4" fillId="2" borderId="68" xfId="0" applyFont="1" applyFill="1" applyBorder="1" applyAlignment="1">
      <alignment horizontal="left" vertical="top"/>
    </xf>
    <xf numFmtId="3" fontId="0" fillId="2" borderId="0" xfId="0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59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176" fontId="3" fillId="2" borderId="0" xfId="1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 wrapText="1"/>
    </xf>
    <xf numFmtId="173" fontId="4" fillId="7" borderId="65" xfId="1" applyNumberFormat="1" applyFont="1" applyFill="1" applyBorder="1" applyAlignment="1">
      <alignment horizontal="right" vertical="top"/>
    </xf>
    <xf numFmtId="173" fontId="4" fillId="5" borderId="0" xfId="0" applyNumberFormat="1" applyFont="1" applyFill="1" applyBorder="1" applyAlignment="1">
      <alignment horizontal="right" vertical="top"/>
    </xf>
    <xf numFmtId="173" fontId="4" fillId="7" borderId="0" xfId="0" applyNumberFormat="1" applyFont="1" applyFill="1" applyBorder="1" applyAlignment="1">
      <alignment horizontal="right" vertical="top"/>
    </xf>
    <xf numFmtId="175" fontId="4" fillId="8" borderId="14" xfId="0" applyNumberFormat="1" applyFont="1" applyFill="1" applyBorder="1"/>
    <xf numFmtId="0" fontId="0" fillId="4" borderId="15" xfId="0" applyFont="1" applyFill="1" applyBorder="1" applyAlignment="1">
      <alignment vertical="top"/>
    </xf>
    <xf numFmtId="0" fontId="4" fillId="4" borderId="16" xfId="0" applyFont="1" applyFill="1" applyBorder="1" applyAlignment="1">
      <alignment vertical="top"/>
    </xf>
    <xf numFmtId="0" fontId="0" fillId="4" borderId="16" xfId="0" applyFont="1" applyFill="1" applyBorder="1" applyAlignment="1">
      <alignment vertical="top"/>
    </xf>
    <xf numFmtId="0" fontId="44" fillId="0" borderId="17" xfId="0" applyFont="1" applyBorder="1" applyAlignment="1">
      <alignment vertical="center"/>
    </xf>
    <xf numFmtId="0" fontId="44" fillId="0" borderId="6" xfId="0" applyFont="1" applyBorder="1" applyAlignment="1">
      <alignment vertical="center"/>
    </xf>
    <xf numFmtId="0" fontId="2" fillId="0" borderId="18" xfId="3" applyBorder="1" applyAlignment="1" applyProtection="1">
      <alignment vertical="center"/>
    </xf>
    <xf numFmtId="0" fontId="44" fillId="0" borderId="18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0" fontId="44" fillId="0" borderId="6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44" fillId="0" borderId="19" xfId="0" applyFont="1" applyBorder="1" applyAlignment="1">
      <alignment vertical="center"/>
    </xf>
    <xf numFmtId="0" fontId="44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44" fillId="0" borderId="22" xfId="0" applyFont="1" applyBorder="1" applyAlignment="1">
      <alignment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/>
    </xf>
    <xf numFmtId="0" fontId="38" fillId="0" borderId="22" xfId="0" applyFont="1" applyBorder="1" applyAlignment="1">
      <alignment vertical="center"/>
    </xf>
    <xf numFmtId="0" fontId="38" fillId="0" borderId="3" xfId="0" applyFont="1" applyBorder="1" applyAlignment="1">
      <alignment horizontal="right" vertical="center"/>
    </xf>
    <xf numFmtId="9" fontId="38" fillId="0" borderId="3" xfId="0" applyNumberFormat="1" applyFont="1" applyBorder="1" applyAlignment="1">
      <alignment horizontal="right" vertical="center"/>
    </xf>
    <xf numFmtId="173" fontId="38" fillId="0" borderId="23" xfId="0" applyNumberFormat="1" applyFont="1" applyBorder="1" applyAlignment="1">
      <alignment horizontal="right" vertical="center"/>
    </xf>
    <xf numFmtId="2" fontId="38" fillId="0" borderId="23" xfId="0" applyNumberFormat="1" applyFont="1" applyBorder="1" applyAlignment="1">
      <alignment horizontal="right" vertical="center"/>
    </xf>
    <xf numFmtId="173" fontId="44" fillId="0" borderId="21" xfId="0" applyNumberFormat="1" applyFont="1" applyBorder="1" applyAlignment="1">
      <alignment horizontal="right" vertical="center"/>
    </xf>
    <xf numFmtId="2" fontId="44" fillId="0" borderId="21" xfId="0" applyNumberFormat="1" applyFont="1" applyBorder="1" applyAlignment="1">
      <alignment horizontal="right" vertical="center"/>
    </xf>
    <xf numFmtId="0" fontId="44" fillId="0" borderId="24" xfId="0" applyFont="1" applyBorder="1" applyAlignment="1">
      <alignment vertical="center" wrapText="1"/>
    </xf>
    <xf numFmtId="0" fontId="44" fillId="0" borderId="25" xfId="0" applyFont="1" applyBorder="1" applyAlignment="1">
      <alignment vertical="center" wrapText="1"/>
    </xf>
    <xf numFmtId="0" fontId="0" fillId="2" borderId="26" xfId="0" applyFill="1" applyBorder="1"/>
    <xf numFmtId="0" fontId="44" fillId="0" borderId="27" xfId="0" applyFont="1" applyBorder="1" applyAlignment="1">
      <alignment vertical="center" wrapText="1"/>
    </xf>
    <xf numFmtId="0" fontId="44" fillId="0" borderId="28" xfId="0" applyFont="1" applyBorder="1" applyAlignment="1">
      <alignment vertical="center" wrapText="1"/>
    </xf>
    <xf numFmtId="9" fontId="3" fillId="0" borderId="29" xfId="0" applyNumberFormat="1" applyFont="1" applyBorder="1" applyAlignment="1">
      <alignment vertical="center" wrapText="1"/>
    </xf>
    <xf numFmtId="9" fontId="3" fillId="0" borderId="30" xfId="0" applyNumberFormat="1" applyFont="1" applyBorder="1" applyAlignment="1">
      <alignment vertical="center" wrapText="1"/>
    </xf>
    <xf numFmtId="0" fontId="4" fillId="0" borderId="17" xfId="0" applyFont="1" applyBorder="1" applyAlignment="1">
      <alignment vertical="center"/>
    </xf>
    <xf numFmtId="0" fontId="44" fillId="0" borderId="21" xfId="0" applyFont="1" applyBorder="1" applyAlignment="1">
      <alignment vertical="center"/>
    </xf>
    <xf numFmtId="0" fontId="38" fillId="0" borderId="25" xfId="0" applyFont="1" applyBorder="1" applyAlignment="1">
      <alignment vertical="center"/>
    </xf>
    <xf numFmtId="0" fontId="38" fillId="0" borderId="18" xfId="0" applyFont="1" applyBorder="1" applyAlignment="1">
      <alignment horizontal="right" vertical="center"/>
    </xf>
    <xf numFmtId="0" fontId="44" fillId="0" borderId="23" xfId="0" applyFont="1" applyBorder="1" applyAlignment="1">
      <alignment horizontal="right" vertical="center"/>
    </xf>
    <xf numFmtId="0" fontId="4" fillId="2" borderId="19" xfId="0" applyFont="1" applyFill="1" applyBorder="1" applyAlignment="1">
      <alignment vertical="center"/>
    </xf>
    <xf numFmtId="0" fontId="44" fillId="2" borderId="21" xfId="0" applyFont="1" applyFill="1" applyBorder="1" applyAlignment="1">
      <alignment vertical="center"/>
    </xf>
    <xf numFmtId="0" fontId="44" fillId="2" borderId="17" xfId="0" applyFont="1" applyFill="1" applyBorder="1" applyAlignment="1">
      <alignment vertical="center"/>
    </xf>
    <xf numFmtId="0" fontId="44" fillId="2" borderId="18" xfId="0" applyFont="1" applyFill="1" applyBorder="1" applyAlignment="1">
      <alignment vertical="center"/>
    </xf>
    <xf numFmtId="2" fontId="38" fillId="0" borderId="25" xfId="0" applyNumberFormat="1" applyFont="1" applyBorder="1" applyAlignment="1">
      <alignment horizontal="right" vertical="center"/>
    </xf>
    <xf numFmtId="173" fontId="38" fillId="0" borderId="18" xfId="0" applyNumberFormat="1" applyFont="1" applyBorder="1" applyAlignment="1">
      <alignment horizontal="right" vertical="center"/>
    </xf>
    <xf numFmtId="173" fontId="4" fillId="2" borderId="31" xfId="0" applyNumberFormat="1" applyFont="1" applyFill="1" applyBorder="1"/>
    <xf numFmtId="2" fontId="3" fillId="0" borderId="25" xfId="0" applyNumberFormat="1" applyFont="1" applyBorder="1" applyAlignment="1">
      <alignment vertical="center" wrapText="1"/>
    </xf>
    <xf numFmtId="0" fontId="45" fillId="2" borderId="63" xfId="0" applyFont="1" applyFill="1" applyBorder="1" applyAlignment="1">
      <alignment vertical="center"/>
    </xf>
    <xf numFmtId="175" fontId="4" fillId="6" borderId="66" xfId="1" applyNumberFormat="1" applyFont="1" applyFill="1" applyBorder="1" applyAlignment="1">
      <alignment horizontal="right" vertical="top"/>
    </xf>
    <xf numFmtId="0" fontId="4" fillId="4" borderId="69" xfId="0" applyFont="1" applyFill="1" applyBorder="1" applyAlignment="1">
      <alignment vertical="top"/>
    </xf>
    <xf numFmtId="0" fontId="38" fillId="2" borderId="0" xfId="0" applyFont="1" applyFill="1" applyBorder="1"/>
    <xf numFmtId="0" fontId="0" fillId="0" borderId="0" xfId="0" applyBorder="1"/>
    <xf numFmtId="0" fontId="4" fillId="2" borderId="2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vertical="center" wrapText="1"/>
    </xf>
    <xf numFmtId="3" fontId="0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vertical="top"/>
    </xf>
    <xf numFmtId="175" fontId="4" fillId="2" borderId="0" xfId="1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center"/>
    </xf>
    <xf numFmtId="176" fontId="4" fillId="2" borderId="32" xfId="0" applyNumberFormat="1" applyFont="1" applyFill="1" applyBorder="1"/>
    <xf numFmtId="0" fontId="44" fillId="0" borderId="14" xfId="0" applyFont="1" applyBorder="1" applyAlignment="1">
      <alignment vertical="center"/>
    </xf>
    <xf numFmtId="176" fontId="46" fillId="2" borderId="0" xfId="0" applyNumberFormat="1" applyFont="1" applyFill="1"/>
    <xf numFmtId="0" fontId="46" fillId="6" borderId="0" xfId="0" applyFont="1" applyFill="1" applyAlignment="1">
      <alignment horizontal="center"/>
    </xf>
    <xf numFmtId="3" fontId="0" fillId="0" borderId="0" xfId="0" applyNumberFormat="1"/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0" borderId="33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33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right" vertical="center" wrapText="1"/>
    </xf>
    <xf numFmtId="2" fontId="0" fillId="0" borderId="3" xfId="0" applyNumberFormat="1" applyFont="1" applyBorder="1" applyAlignment="1">
      <alignment horizontal="justify" vertical="center" wrapText="1"/>
    </xf>
    <xf numFmtId="0" fontId="2" fillId="0" borderId="0" xfId="3" applyAlignment="1" applyProtection="1">
      <alignment horizontal="justify" vertical="center"/>
    </xf>
    <xf numFmtId="0" fontId="44" fillId="0" borderId="24" xfId="0" applyFont="1" applyBorder="1" applyAlignment="1">
      <alignment vertical="center"/>
    </xf>
    <xf numFmtId="0" fontId="44" fillId="0" borderId="25" xfId="0" applyFont="1" applyBorder="1" applyAlignment="1">
      <alignment vertical="center"/>
    </xf>
    <xf numFmtId="173" fontId="4" fillId="8" borderId="31" xfId="0" applyNumberFormat="1" applyFont="1" applyFill="1" applyBorder="1"/>
    <xf numFmtId="17" fontId="0" fillId="2" borderId="0" xfId="0" applyNumberFormat="1" applyFill="1"/>
    <xf numFmtId="0" fontId="47" fillId="2" borderId="0" xfId="0" applyFont="1" applyFill="1"/>
    <xf numFmtId="0" fontId="47" fillId="2" borderId="0" xfId="0" applyFont="1" applyFill="1" applyBorder="1"/>
    <xf numFmtId="176" fontId="47" fillId="2" borderId="0" xfId="1" applyNumberFormat="1" applyFont="1" applyFill="1" applyBorder="1"/>
    <xf numFmtId="0" fontId="48" fillId="2" borderId="0" xfId="0" applyFont="1" applyFill="1"/>
    <xf numFmtId="176" fontId="47" fillId="2" borderId="0" xfId="0" applyNumberFormat="1" applyFont="1" applyFill="1"/>
    <xf numFmtId="0" fontId="0" fillId="0" borderId="0" xfId="0" applyFont="1"/>
    <xf numFmtId="0" fontId="4" fillId="0" borderId="0" xfId="0" applyFont="1"/>
    <xf numFmtId="176" fontId="3" fillId="8" borderId="14" xfId="2" applyNumberFormat="1" applyFont="1" applyFill="1" applyBorder="1"/>
    <xf numFmtId="9" fontId="47" fillId="9" borderId="34" xfId="0" applyNumberFormat="1" applyFont="1" applyFill="1" applyBorder="1"/>
    <xf numFmtId="0" fontId="29" fillId="2" borderId="59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vertical="center" wrapText="1"/>
    </xf>
    <xf numFmtId="176" fontId="0" fillId="0" borderId="0" xfId="1" applyNumberFormat="1" applyFont="1"/>
    <xf numFmtId="43" fontId="0" fillId="0" borderId="0" xfId="1" applyNumberFormat="1" applyFont="1"/>
    <xf numFmtId="43" fontId="3" fillId="8" borderId="14" xfId="1" applyNumberFormat="1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ont="1" applyFill="1" applyBorder="1" applyAlignment="1">
      <alignment horizontal="justify" vertical="center" wrapText="1"/>
    </xf>
    <xf numFmtId="2" fontId="38" fillId="0" borderId="3" xfId="0" applyNumberFormat="1" applyFont="1" applyBorder="1" applyAlignment="1">
      <alignment horizontal="right" vertical="center"/>
    </xf>
    <xf numFmtId="176" fontId="47" fillId="2" borderId="0" xfId="2" applyNumberFormat="1" applyFont="1" applyFill="1"/>
    <xf numFmtId="17" fontId="47" fillId="2" borderId="0" xfId="0" applyNumberFormat="1" applyFont="1" applyFill="1" applyBorder="1"/>
    <xf numFmtId="9" fontId="4" fillId="2" borderId="0" xfId="6" applyFont="1" applyFill="1" applyBorder="1"/>
    <xf numFmtId="9" fontId="7" fillId="2" borderId="0" xfId="6" applyFont="1" applyFill="1" applyBorder="1"/>
    <xf numFmtId="0" fontId="41" fillId="0" borderId="59" xfId="0" applyFont="1" applyFill="1" applyBorder="1" applyAlignment="1">
      <alignment vertical="top"/>
    </xf>
    <xf numFmtId="14" fontId="38" fillId="2" borderId="0" xfId="0" applyNumberFormat="1" applyFont="1" applyFill="1" applyBorder="1" applyAlignment="1">
      <alignment horizontal="right" vertical="center"/>
    </xf>
    <xf numFmtId="0" fontId="46" fillId="2" borderId="0" xfId="0" applyFont="1" applyFill="1"/>
    <xf numFmtId="0" fontId="49" fillId="2" borderId="0" xfId="0" applyFont="1" applyFill="1"/>
    <xf numFmtId="1" fontId="46" fillId="2" borderId="0" xfId="0" applyNumberFormat="1" applyFont="1" applyFill="1"/>
    <xf numFmtId="176" fontId="50" fillId="2" borderId="0" xfId="1" applyNumberFormat="1" applyFont="1" applyFill="1" applyBorder="1"/>
    <xf numFmtId="176" fontId="50" fillId="2" borderId="4" xfId="1" applyNumberFormat="1" applyFont="1" applyFill="1" applyBorder="1"/>
    <xf numFmtId="176" fontId="47" fillId="2" borderId="9" xfId="1" applyNumberFormat="1" applyFont="1" applyFill="1" applyBorder="1"/>
    <xf numFmtId="176" fontId="47" fillId="2" borderId="6" xfId="1" applyNumberFormat="1" applyFont="1" applyFill="1" applyBorder="1"/>
    <xf numFmtId="0" fontId="0" fillId="2" borderId="9" xfId="0" applyFill="1" applyBorder="1"/>
    <xf numFmtId="1" fontId="0" fillId="2" borderId="2" xfId="0" applyNumberFormat="1" applyFill="1" applyBorder="1"/>
    <xf numFmtId="1" fontId="0" fillId="2" borderId="1" xfId="0" applyNumberFormat="1" applyFill="1" applyBorder="1"/>
    <xf numFmtId="176" fontId="4" fillId="2" borderId="35" xfId="1" applyNumberFormat="1" applyFont="1" applyFill="1" applyBorder="1"/>
    <xf numFmtId="176" fontId="4" fillId="2" borderId="34" xfId="1" applyNumberFormat="1" applyFont="1" applyFill="1" applyBorder="1"/>
    <xf numFmtId="17" fontId="47" fillId="2" borderId="1" xfId="0" applyNumberFormat="1" applyFont="1" applyFill="1" applyBorder="1"/>
    <xf numFmtId="0" fontId="47" fillId="2" borderId="9" xfId="0" applyFont="1" applyFill="1" applyBorder="1"/>
    <xf numFmtId="176" fontId="3" fillId="2" borderId="2" xfId="1" applyNumberFormat="1" applyFont="1" applyFill="1" applyBorder="1"/>
    <xf numFmtId="176" fontId="3" fillId="2" borderId="1" xfId="1" applyNumberFormat="1" applyFont="1" applyFill="1" applyBorder="1"/>
    <xf numFmtId="177" fontId="45" fillId="2" borderId="31" xfId="6" applyNumberFormat="1" applyFont="1" applyFill="1" applyBorder="1"/>
    <xf numFmtId="2" fontId="42" fillId="0" borderId="0" xfId="0" applyNumberFormat="1" applyFont="1" applyFill="1" applyBorder="1" applyAlignment="1">
      <alignment horizontal="left" vertical="top"/>
    </xf>
    <xf numFmtId="174" fontId="4" fillId="0" borderId="0" xfId="0" applyNumberFormat="1" applyFont="1" applyFill="1" applyBorder="1" applyAlignment="1">
      <alignment vertical="top"/>
    </xf>
    <xf numFmtId="176" fontId="51" fillId="2" borderId="0" xfId="1" applyNumberFormat="1" applyFont="1" applyFill="1" applyBorder="1"/>
    <xf numFmtId="176" fontId="51" fillId="2" borderId="4" xfId="1" applyNumberFormat="1" applyFont="1" applyFill="1" applyBorder="1"/>
    <xf numFmtId="176" fontId="51" fillId="2" borderId="9" xfId="1" applyNumberFormat="1" applyFont="1" applyFill="1" applyBorder="1"/>
    <xf numFmtId="176" fontId="51" fillId="2" borderId="8" xfId="1" applyNumberFormat="1" applyFont="1" applyFill="1" applyBorder="1"/>
    <xf numFmtId="0" fontId="0" fillId="2" borderId="0" xfId="0" applyFont="1" applyFill="1" applyBorder="1" applyAlignment="1">
      <alignment horizontal="center" vertical="top" wrapText="1"/>
    </xf>
    <xf numFmtId="176" fontId="0" fillId="2" borderId="0" xfId="0" applyNumberFormat="1" applyFont="1" applyFill="1" applyBorder="1" applyAlignment="1">
      <alignment horizontal="left" vertical="top"/>
    </xf>
    <xf numFmtId="43" fontId="47" fillId="2" borderId="0" xfId="0" applyNumberFormat="1" applyFont="1" applyFill="1"/>
    <xf numFmtId="176" fontId="4" fillId="2" borderId="2" xfId="1" applyNumberFormat="1" applyFont="1" applyFill="1" applyBorder="1"/>
    <xf numFmtId="176" fontId="4" fillId="2" borderId="1" xfId="1" applyNumberFormat="1" applyFont="1" applyFill="1" applyBorder="1"/>
    <xf numFmtId="176" fontId="47" fillId="2" borderId="0" xfId="0" applyNumberFormat="1" applyFont="1" applyFill="1" applyAlignment="1">
      <alignment horizontal="right" vertical="center"/>
    </xf>
    <xf numFmtId="0" fontId="48" fillId="10" borderId="36" xfId="0" applyFont="1" applyFill="1" applyBorder="1" applyAlignment="1">
      <alignment horizontal="left"/>
    </xf>
    <xf numFmtId="0" fontId="52" fillId="10" borderId="37" xfId="0" applyFont="1" applyFill="1" applyBorder="1" applyAlignment="1">
      <alignment horizontal="justify" wrapText="1"/>
    </xf>
    <xf numFmtId="176" fontId="47" fillId="10" borderId="38" xfId="1" applyNumberFormat="1" applyFont="1" applyFill="1" applyBorder="1" applyAlignment="1">
      <alignment horizontal="left"/>
    </xf>
    <xf numFmtId="176" fontId="47" fillId="10" borderId="39" xfId="1" applyNumberFormat="1" applyFont="1" applyFill="1" applyBorder="1" applyAlignment="1">
      <alignment horizontal="left"/>
    </xf>
    <xf numFmtId="176" fontId="53" fillId="10" borderId="40" xfId="1" applyNumberFormat="1" applyFont="1" applyFill="1" applyBorder="1" applyAlignment="1">
      <alignment horizontal="left" wrapText="1"/>
    </xf>
    <xf numFmtId="0" fontId="0" fillId="2" borderId="8" xfId="0" applyFont="1" applyFill="1" applyBorder="1"/>
    <xf numFmtId="0" fontId="0" fillId="2" borderId="4" xfId="0" applyFont="1" applyFill="1" applyBorder="1"/>
    <xf numFmtId="0" fontId="0" fillId="2" borderId="9" xfId="0" applyFont="1" applyFill="1" applyBorder="1"/>
    <xf numFmtId="176" fontId="3" fillId="2" borderId="9" xfId="1" applyNumberFormat="1" applyFont="1" applyFill="1" applyBorder="1"/>
    <xf numFmtId="176" fontId="3" fillId="2" borderId="0" xfId="1" applyNumberFormat="1" applyFont="1" applyFill="1" applyBorder="1"/>
    <xf numFmtId="176" fontId="3" fillId="2" borderId="2" xfId="1" applyNumberFormat="1" applyFont="1" applyFill="1" applyBorder="1"/>
    <xf numFmtId="176" fontId="3" fillId="2" borderId="1" xfId="1" applyNumberFormat="1" applyFont="1" applyFill="1" applyBorder="1"/>
    <xf numFmtId="1" fontId="0" fillId="2" borderId="1" xfId="0" applyNumberFormat="1" applyFont="1" applyFill="1" applyBorder="1"/>
    <xf numFmtId="0" fontId="47" fillId="9" borderId="0" xfId="0" applyFont="1" applyFill="1" applyBorder="1"/>
    <xf numFmtId="176" fontId="48" fillId="2" borderId="0" xfId="1" applyNumberFormat="1" applyFont="1" applyFill="1" applyBorder="1"/>
    <xf numFmtId="0" fontId="48" fillId="2" borderId="0" xfId="0" applyFont="1" applyFill="1" applyBorder="1" applyAlignment="1"/>
    <xf numFmtId="1" fontId="47" fillId="2" borderId="0" xfId="0" applyNumberFormat="1" applyFont="1" applyFill="1" applyBorder="1"/>
    <xf numFmtId="9" fontId="47" fillId="9" borderId="35" xfId="0" applyNumberFormat="1" applyFont="1" applyFill="1" applyBorder="1"/>
    <xf numFmtId="9" fontId="47" fillId="9" borderId="41" xfId="0" applyNumberFormat="1" applyFont="1" applyFill="1" applyBorder="1"/>
    <xf numFmtId="176" fontId="3" fillId="2" borderId="0" xfId="2" applyNumberFormat="1" applyFont="1" applyFill="1" applyBorder="1"/>
    <xf numFmtId="176" fontId="3" fillId="2" borderId="9" xfId="2" applyNumberFormat="1" applyFont="1" applyFill="1" applyBorder="1"/>
    <xf numFmtId="176" fontId="54" fillId="2" borderId="0" xfId="0" applyNumberFormat="1" applyFont="1" applyFill="1" applyAlignment="1">
      <alignment horizontal="left" vertical="center"/>
    </xf>
    <xf numFmtId="175" fontId="48" fillId="11" borderId="14" xfId="0" applyNumberFormat="1" applyFont="1" applyFill="1" applyBorder="1"/>
    <xf numFmtId="0" fontId="0" fillId="2" borderId="8" xfId="0" applyFill="1" applyBorder="1"/>
    <xf numFmtId="176" fontId="3" fillId="2" borderId="2" xfId="2" applyNumberFormat="1" applyFont="1" applyFill="1" applyBorder="1"/>
    <xf numFmtId="17" fontId="47" fillId="2" borderId="9" xfId="0" applyNumberFormat="1" applyFont="1" applyFill="1" applyBorder="1"/>
    <xf numFmtId="17" fontId="47" fillId="2" borderId="6" xfId="0" applyNumberFormat="1" applyFont="1" applyFill="1" applyBorder="1"/>
    <xf numFmtId="176" fontId="3" fillId="2" borderId="1" xfId="2" applyNumberFormat="1" applyFont="1" applyFill="1" applyBorder="1"/>
    <xf numFmtId="0" fontId="46" fillId="2" borderId="0" xfId="0" applyFont="1" applyFill="1" applyBorder="1"/>
    <xf numFmtId="176" fontId="4" fillId="2" borderId="2" xfId="2" applyNumberFormat="1" applyFont="1" applyFill="1" applyBorder="1"/>
    <xf numFmtId="176" fontId="4" fillId="2" borderId="1" xfId="2" applyNumberFormat="1" applyFont="1" applyFill="1" applyBorder="1"/>
    <xf numFmtId="0" fontId="0" fillId="2" borderId="0" xfId="0" applyFill="1" applyAlignment="1">
      <alignment vertical="top"/>
    </xf>
    <xf numFmtId="14" fontId="3" fillId="2" borderId="0" xfId="1" applyNumberFormat="1" applyFont="1" applyFill="1" applyBorder="1"/>
    <xf numFmtId="0" fontId="0" fillId="12" borderId="63" xfId="0" applyFill="1" applyBorder="1" applyAlignment="1">
      <alignment horizontal="left" vertical="top"/>
    </xf>
    <xf numFmtId="173" fontId="0" fillId="12" borderId="63" xfId="0" applyNumberFormat="1" applyFill="1" applyBorder="1" applyAlignment="1">
      <alignment horizontal="left" vertical="top"/>
    </xf>
    <xf numFmtId="176" fontId="47" fillId="0" borderId="0" xfId="2" applyNumberFormat="1" applyFont="1" applyFill="1"/>
    <xf numFmtId="0" fontId="0" fillId="2" borderId="0" xfId="0" applyFill="1" applyAlignment="1">
      <alignment horizontal="left" vertical="top"/>
    </xf>
    <xf numFmtId="2" fontId="0" fillId="2" borderId="64" xfId="0" applyNumberFormat="1" applyFill="1" applyBorder="1" applyAlignment="1">
      <alignment vertical="top"/>
    </xf>
    <xf numFmtId="0" fontId="43" fillId="2" borderId="6" xfId="0" applyFont="1" applyFill="1" applyBorder="1" applyAlignment="1">
      <alignment vertical="top"/>
    </xf>
    <xf numFmtId="2" fontId="0" fillId="2" borderId="0" xfId="0" applyNumberFormat="1" applyFill="1" applyAlignment="1">
      <alignment horizontal="left" vertical="top" wrapText="1"/>
    </xf>
    <xf numFmtId="0" fontId="0" fillId="2" borderId="6" xfId="0" applyFill="1" applyBorder="1" applyAlignment="1">
      <alignment vertical="top"/>
    </xf>
    <xf numFmtId="2" fontId="0" fillId="8" borderId="3" xfId="0" applyNumberFormat="1" applyFont="1" applyFill="1" applyBorder="1" applyAlignment="1">
      <alignment horizontal="right" vertical="center"/>
    </xf>
    <xf numFmtId="174" fontId="0" fillId="8" borderId="3" xfId="0" applyNumberFormat="1" applyFont="1" applyFill="1" applyBorder="1" applyAlignment="1">
      <alignment horizontal="right" vertical="center"/>
    </xf>
    <xf numFmtId="10" fontId="0" fillId="8" borderId="18" xfId="0" applyNumberFormat="1" applyFont="1" applyFill="1" applyBorder="1" applyAlignment="1">
      <alignment horizontal="right" vertical="center"/>
    </xf>
    <xf numFmtId="0" fontId="55" fillId="10" borderId="37" xfId="0" applyFont="1" applyFill="1" applyBorder="1" applyAlignment="1">
      <alignment horizontal="justify" wrapText="1"/>
    </xf>
    <xf numFmtId="0" fontId="56" fillId="10" borderId="37" xfId="0" applyFont="1" applyFill="1" applyBorder="1" applyAlignment="1">
      <alignment horizontal="left"/>
    </xf>
    <xf numFmtId="0" fontId="56" fillId="10" borderId="42" xfId="0" applyFont="1" applyFill="1" applyBorder="1" applyAlignment="1">
      <alignment horizontal="left"/>
    </xf>
    <xf numFmtId="176" fontId="57" fillId="10" borderId="32" xfId="1" applyNumberFormat="1" applyFont="1" applyFill="1" applyBorder="1" applyAlignment="1">
      <alignment horizontal="left" wrapText="1"/>
    </xf>
    <xf numFmtId="176" fontId="57" fillId="10" borderId="43" xfId="1" applyNumberFormat="1" applyFont="1" applyFill="1" applyBorder="1" applyAlignment="1">
      <alignment horizontal="left" wrapText="1"/>
    </xf>
    <xf numFmtId="176" fontId="57" fillId="10" borderId="40" xfId="1" applyNumberFormat="1" applyFont="1" applyFill="1" applyBorder="1" applyAlignment="1">
      <alignment horizontal="left" wrapText="1"/>
    </xf>
    <xf numFmtId="176" fontId="57" fillId="10" borderId="44" xfId="1" applyNumberFormat="1" applyFont="1" applyFill="1" applyBorder="1" applyAlignment="1">
      <alignment horizontal="left" wrapText="1"/>
    </xf>
    <xf numFmtId="14" fontId="38" fillId="2" borderId="9" xfId="0" applyNumberFormat="1" applyFont="1" applyFill="1" applyBorder="1" applyAlignment="1">
      <alignment horizontal="center" vertical="center"/>
    </xf>
    <xf numFmtId="14" fontId="38" fillId="2" borderId="0" xfId="0" applyNumberFormat="1" applyFont="1" applyFill="1" applyBorder="1" applyAlignment="1">
      <alignment horizontal="center" vertical="center"/>
    </xf>
    <xf numFmtId="176" fontId="58" fillId="2" borderId="35" xfId="2" applyNumberFormat="1" applyFont="1" applyFill="1" applyBorder="1"/>
    <xf numFmtId="176" fontId="58" fillId="2" borderId="34" xfId="2" applyNumberFormat="1" applyFont="1" applyFill="1" applyBorder="1"/>
    <xf numFmtId="176" fontId="4" fillId="2" borderId="45" xfId="0" applyNumberFormat="1" applyFont="1" applyFill="1" applyBorder="1"/>
    <xf numFmtId="0" fontId="4" fillId="2" borderId="46" xfId="0" applyFont="1" applyFill="1" applyBorder="1"/>
    <xf numFmtId="14" fontId="38" fillId="2" borderId="32" xfId="0" applyNumberFormat="1" applyFont="1" applyFill="1" applyBorder="1" applyAlignment="1">
      <alignment horizontal="center" vertical="center"/>
    </xf>
    <xf numFmtId="2" fontId="46" fillId="2" borderId="0" xfId="0" applyNumberFormat="1" applyFont="1" applyFill="1" applyBorder="1"/>
    <xf numFmtId="2" fontId="46" fillId="2" borderId="0" xfId="0" applyNumberFormat="1" applyFont="1" applyFill="1"/>
    <xf numFmtId="175" fontId="4" fillId="5" borderId="0" xfId="2" applyNumberFormat="1" applyFont="1" applyFill="1" applyBorder="1" applyAlignment="1">
      <alignment horizontal="left" vertical="top"/>
    </xf>
    <xf numFmtId="2" fontId="42" fillId="2" borderId="0" xfId="0" applyNumberFormat="1" applyFont="1" applyFill="1" applyAlignment="1">
      <alignment horizontal="left" vertical="top"/>
    </xf>
    <xf numFmtId="0" fontId="42" fillId="2" borderId="0" xfId="0" applyFont="1" applyFill="1" applyAlignment="1">
      <alignment vertical="top"/>
    </xf>
    <xf numFmtId="0" fontId="0" fillId="2" borderId="64" xfId="0" applyFill="1" applyBorder="1" applyAlignment="1">
      <alignment vertical="top"/>
    </xf>
    <xf numFmtId="0" fontId="28" fillId="2" borderId="0" xfId="0" applyFont="1" applyFill="1" applyAlignment="1">
      <alignment horizontal="left" vertical="top"/>
    </xf>
    <xf numFmtId="176" fontId="4" fillId="2" borderId="0" xfId="0" applyNumberFormat="1" applyFont="1" applyFill="1" applyBorder="1"/>
    <xf numFmtId="9" fontId="3" fillId="2" borderId="0" xfId="6" applyFont="1" applyFill="1" applyBorder="1" applyAlignment="1">
      <alignment horizontal="right" vertical="top"/>
    </xf>
    <xf numFmtId="176" fontId="3" fillId="0" borderId="32" xfId="1" applyNumberFormat="1" applyFont="1" applyFill="1" applyBorder="1" applyAlignment="1">
      <alignment horizontal="right" vertical="top"/>
    </xf>
    <xf numFmtId="10" fontId="4" fillId="2" borderId="32" xfId="6" applyNumberFormat="1" applyFont="1" applyFill="1" applyBorder="1"/>
    <xf numFmtId="0" fontId="48" fillId="10" borderId="37" xfId="0" applyFont="1" applyFill="1" applyBorder="1" applyAlignment="1">
      <alignment horizontal="left"/>
    </xf>
    <xf numFmtId="176" fontId="53" fillId="10" borderId="32" xfId="1" applyNumberFormat="1" applyFont="1" applyFill="1" applyBorder="1" applyAlignment="1">
      <alignment horizontal="left" wrapText="1"/>
    </xf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176" fontId="3" fillId="2" borderId="8" xfId="1" applyNumberFormat="1" applyFont="1" applyFill="1" applyBorder="1"/>
    <xf numFmtId="176" fontId="3" fillId="2" borderId="4" xfId="1" applyNumberFormat="1" applyFont="1" applyFill="1" applyBorder="1"/>
    <xf numFmtId="176" fontId="3" fillId="2" borderId="5" xfId="1" applyNumberFormat="1" applyFont="1" applyFill="1" applyBorder="1"/>
    <xf numFmtId="176" fontId="3" fillId="2" borderId="6" xfId="1" applyNumberFormat="1" applyFont="1" applyFill="1" applyBorder="1"/>
    <xf numFmtId="176" fontId="3" fillId="2" borderId="3" xfId="2" applyNumberFormat="1" applyFont="1" applyFill="1" applyBorder="1"/>
    <xf numFmtId="17" fontId="47" fillId="2" borderId="35" xfId="0" applyNumberFormat="1" applyFont="1" applyFill="1" applyBorder="1"/>
    <xf numFmtId="17" fontId="47" fillId="2" borderId="34" xfId="0" applyNumberFormat="1" applyFont="1" applyFill="1" applyBorder="1"/>
    <xf numFmtId="17" fontId="47" fillId="2" borderId="41" xfId="0" applyNumberFormat="1" applyFont="1" applyFill="1" applyBorder="1"/>
    <xf numFmtId="0" fontId="0" fillId="2" borderId="0" xfId="0" applyFont="1" applyFill="1"/>
    <xf numFmtId="176" fontId="0" fillId="2" borderId="0" xfId="0" applyNumberFormat="1" applyFont="1" applyFill="1"/>
    <xf numFmtId="3" fontId="4" fillId="2" borderId="70" xfId="0" applyNumberFormat="1" applyFont="1" applyFill="1" applyBorder="1" applyAlignment="1">
      <alignment horizontal="left" vertical="top"/>
    </xf>
    <xf numFmtId="2" fontId="3" fillId="2" borderId="63" xfId="1" applyNumberFormat="1" applyFont="1" applyFill="1" applyBorder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10" fontId="3" fillId="2" borderId="32" xfId="6" applyNumberFormat="1" applyFont="1" applyFill="1" applyBorder="1" applyAlignment="1">
      <alignment horizontal="right" vertical="top"/>
    </xf>
    <xf numFmtId="176" fontId="3" fillId="2" borderId="32" xfId="1" applyNumberFormat="1" applyFont="1" applyFill="1" applyBorder="1" applyAlignment="1">
      <alignment horizontal="right" vertical="top"/>
    </xf>
    <xf numFmtId="9" fontId="3" fillId="2" borderId="0" xfId="6" applyFont="1" applyFill="1" applyBorder="1"/>
    <xf numFmtId="0" fontId="0" fillId="0" borderId="0" xfId="0" applyFont="1" applyFill="1"/>
    <xf numFmtId="0" fontId="0" fillId="0" borderId="0" xfId="0" applyFill="1"/>
    <xf numFmtId="178" fontId="4" fillId="2" borderId="0" xfId="0" applyNumberFormat="1" applyFont="1" applyFill="1" applyBorder="1" applyAlignment="1">
      <alignment vertical="top"/>
    </xf>
    <xf numFmtId="0" fontId="28" fillId="2" borderId="0" xfId="0" applyFont="1" applyFill="1" applyBorder="1" applyAlignment="1">
      <alignment vertical="center" wrapText="1"/>
    </xf>
    <xf numFmtId="176" fontId="4" fillId="8" borderId="41" xfId="2" applyNumberFormat="1" applyFont="1" applyFill="1" applyBorder="1"/>
    <xf numFmtId="2" fontId="59" fillId="2" borderId="0" xfId="0" applyNumberFormat="1" applyFont="1" applyFill="1" applyBorder="1" applyAlignment="1">
      <alignment vertical="top"/>
    </xf>
    <xf numFmtId="179" fontId="0" fillId="0" borderId="0" xfId="0" applyNumberFormat="1" applyAlignment="1">
      <alignment horizontal="center" vertical="center"/>
    </xf>
    <xf numFmtId="180" fontId="46" fillId="2" borderId="0" xfId="0" applyNumberFormat="1" applyFont="1" applyFill="1" applyAlignment="1">
      <alignment vertical="top"/>
    </xf>
    <xf numFmtId="172" fontId="0" fillId="2" borderId="0" xfId="0" applyNumberFormat="1" applyFont="1" applyFill="1" applyBorder="1" applyAlignment="1">
      <alignment vertical="top"/>
    </xf>
    <xf numFmtId="0" fontId="60" fillId="10" borderId="37" xfId="0" applyFont="1" applyFill="1" applyBorder="1" applyAlignment="1">
      <alignment horizontal="left"/>
    </xf>
    <xf numFmtId="9" fontId="0" fillId="2" borderId="35" xfId="0" applyNumberFormat="1" applyFont="1" applyFill="1" applyBorder="1"/>
    <xf numFmtId="9" fontId="0" fillId="2" borderId="34" xfId="0" applyNumberFormat="1" applyFont="1" applyFill="1" applyBorder="1"/>
    <xf numFmtId="9" fontId="0" fillId="2" borderId="41" xfId="0" applyNumberFormat="1" applyFont="1" applyFill="1" applyBorder="1"/>
    <xf numFmtId="17" fontId="0" fillId="2" borderId="35" xfId="0" applyNumberFormat="1" applyFont="1" applyFill="1" applyBorder="1"/>
    <xf numFmtId="17" fontId="0" fillId="2" borderId="34" xfId="0" applyNumberFormat="1" applyFont="1" applyFill="1" applyBorder="1"/>
    <xf numFmtId="17" fontId="0" fillId="2" borderId="41" xfId="0" applyNumberFormat="1" applyFont="1" applyFill="1" applyBorder="1"/>
    <xf numFmtId="176" fontId="3" fillId="2" borderId="6" xfId="2" applyNumberFormat="1" applyFont="1" applyFill="1" applyBorder="1"/>
    <xf numFmtId="176" fontId="4" fillId="2" borderId="35" xfId="2" applyNumberFormat="1" applyFont="1" applyFill="1" applyBorder="1"/>
    <xf numFmtId="176" fontId="4" fillId="2" borderId="34" xfId="2" applyNumberFormat="1" applyFont="1" applyFill="1" applyBorder="1"/>
    <xf numFmtId="176" fontId="4" fillId="2" borderId="41" xfId="2" applyNumberFormat="1" applyFont="1" applyFill="1" applyBorder="1"/>
    <xf numFmtId="176" fontId="60" fillId="2" borderId="0" xfId="2" applyNumberFormat="1" applyFont="1" applyFill="1"/>
    <xf numFmtId="9" fontId="47" fillId="13" borderId="34" xfId="0" applyNumberFormat="1" applyFont="1" applyFill="1" applyBorder="1"/>
    <xf numFmtId="17" fontId="47" fillId="8" borderId="1" xfId="0" applyNumberFormat="1" applyFont="1" applyFill="1" applyBorder="1"/>
    <xf numFmtId="176" fontId="50" fillId="8" borderId="0" xfId="1" applyNumberFormat="1" applyFont="1" applyFill="1" applyBorder="1"/>
    <xf numFmtId="176" fontId="47" fillId="8" borderId="0" xfId="1" applyNumberFormat="1" applyFont="1" applyFill="1" applyBorder="1"/>
    <xf numFmtId="0" fontId="47" fillId="8" borderId="0" xfId="0" applyFont="1" applyFill="1" applyBorder="1"/>
    <xf numFmtId="176" fontId="47" fillId="8" borderId="1" xfId="1" applyNumberFormat="1" applyFont="1" applyFill="1" applyBorder="1"/>
    <xf numFmtId="176" fontId="61" fillId="10" borderId="32" xfId="1" applyNumberFormat="1" applyFont="1" applyFill="1" applyBorder="1" applyAlignment="1">
      <alignment horizontal="left" wrapText="1"/>
    </xf>
    <xf numFmtId="176" fontId="61" fillId="10" borderId="40" xfId="1" applyNumberFormat="1" applyFont="1" applyFill="1" applyBorder="1" applyAlignment="1">
      <alignment horizontal="left" wrapText="1"/>
    </xf>
    <xf numFmtId="0" fontId="62" fillId="10" borderId="37" xfId="0" applyFont="1" applyFill="1" applyBorder="1" applyAlignment="1">
      <alignment horizontal="left"/>
    </xf>
    <xf numFmtId="183" fontId="28" fillId="2" borderId="0" xfId="0" applyNumberFormat="1" applyFont="1" applyFill="1" applyBorder="1" applyAlignment="1">
      <alignment vertical="top"/>
    </xf>
    <xf numFmtId="183" fontId="0" fillId="2" borderId="0" xfId="0" applyNumberFormat="1" applyFont="1" applyFill="1" applyBorder="1" applyAlignment="1">
      <alignment vertical="top"/>
    </xf>
    <xf numFmtId="185" fontId="4" fillId="2" borderId="0" xfId="0" applyNumberFormat="1" applyFont="1" applyFill="1" applyAlignment="1">
      <alignment vertical="top"/>
    </xf>
    <xf numFmtId="9" fontId="3" fillId="2" borderId="0" xfId="6" applyFont="1" applyFill="1" applyBorder="1" applyAlignment="1">
      <alignment vertical="top"/>
    </xf>
    <xf numFmtId="183" fontId="0" fillId="2" borderId="0" xfId="0" applyNumberFormat="1" applyFill="1" applyBorder="1"/>
    <xf numFmtId="176" fontId="48" fillId="11" borderId="14" xfId="0" applyNumberFormat="1" applyFont="1" applyFill="1" applyBorder="1"/>
    <xf numFmtId="185" fontId="3" fillId="2" borderId="0" xfId="6" applyNumberFormat="1" applyFont="1" applyFill="1" applyBorder="1" applyAlignment="1">
      <alignment vertical="top"/>
    </xf>
    <xf numFmtId="183" fontId="5" fillId="2" borderId="0" xfId="0" applyNumberFormat="1" applyFont="1" applyFill="1" applyBorder="1"/>
    <xf numFmtId="0" fontId="63" fillId="2" borderId="0" xfId="0" applyFont="1" applyFill="1" applyBorder="1" applyAlignment="1">
      <alignment horizontal="right" vertical="top"/>
    </xf>
    <xf numFmtId="0" fontId="64" fillId="2" borderId="0" xfId="0" applyFont="1" applyFill="1" applyBorder="1" applyAlignment="1">
      <alignment horizontal="left" vertical="top"/>
    </xf>
    <xf numFmtId="0" fontId="64" fillId="0" borderId="0" xfId="0" applyFont="1" applyBorder="1"/>
    <xf numFmtId="0" fontId="64" fillId="2" borderId="0" xfId="0" applyFont="1" applyFill="1" applyBorder="1" applyAlignment="1">
      <alignment vertical="center" wrapText="1"/>
    </xf>
    <xf numFmtId="176" fontId="63" fillId="2" borderId="0" xfId="2" applyNumberFormat="1" applyFont="1" applyFill="1" applyBorder="1" applyAlignment="1">
      <alignment horizontal="left" vertical="top" wrapText="1"/>
    </xf>
    <xf numFmtId="0" fontId="64" fillId="2" borderId="0" xfId="0" applyFont="1" applyFill="1" applyBorder="1" applyAlignment="1">
      <alignment horizontal="left" vertical="top" wrapText="1"/>
    </xf>
    <xf numFmtId="181" fontId="64" fillId="2" borderId="0" xfId="0" applyNumberFormat="1" applyFont="1" applyFill="1" applyBorder="1" applyAlignment="1">
      <alignment vertical="center" wrapText="1"/>
    </xf>
    <xf numFmtId="176" fontId="64" fillId="2" borderId="11" xfId="0" applyNumberFormat="1" applyFont="1" applyFill="1" applyBorder="1" applyAlignment="1">
      <alignment vertical="center" wrapText="1"/>
    </xf>
    <xf numFmtId="0" fontId="64" fillId="2" borderId="0" xfId="0" applyFont="1" applyFill="1" applyBorder="1" applyAlignment="1">
      <alignment vertical="center"/>
    </xf>
    <xf numFmtId="176" fontId="63" fillId="2" borderId="0" xfId="0" applyNumberFormat="1" applyFont="1" applyFill="1" applyBorder="1" applyAlignment="1">
      <alignment vertical="center" wrapText="1"/>
    </xf>
    <xf numFmtId="0" fontId="65" fillId="2" borderId="0" xfId="0" applyFont="1" applyFill="1" applyBorder="1" applyAlignment="1">
      <alignment vertical="center" wrapText="1"/>
    </xf>
    <xf numFmtId="176" fontId="63" fillId="2" borderId="0" xfId="0" applyNumberFormat="1" applyFont="1" applyFill="1" applyBorder="1" applyAlignment="1">
      <alignment horizontal="left" vertical="top" wrapText="1"/>
    </xf>
    <xf numFmtId="176" fontId="64" fillId="2" borderId="0" xfId="0" applyNumberFormat="1" applyFont="1" applyFill="1" applyAlignment="1">
      <alignment horizontal="left" vertical="top"/>
    </xf>
    <xf numFmtId="0" fontId="64" fillId="2" borderId="0" xfId="0" applyFont="1" applyFill="1" applyAlignment="1">
      <alignment horizontal="left" vertical="top"/>
    </xf>
    <xf numFmtId="176" fontId="64" fillId="2" borderId="11" xfId="0" applyNumberFormat="1" applyFont="1" applyFill="1" applyBorder="1" applyAlignment="1">
      <alignment horizontal="left" vertical="top" wrapText="1"/>
    </xf>
    <xf numFmtId="0" fontId="64" fillId="2" borderId="0" xfId="0" applyFont="1" applyFill="1" applyAlignment="1">
      <alignment horizontal="left" vertical="top" wrapText="1"/>
    </xf>
    <xf numFmtId="176" fontId="63" fillId="2" borderId="0" xfId="0" applyNumberFormat="1" applyFont="1" applyFill="1" applyAlignment="1">
      <alignment horizontal="left" vertical="top"/>
    </xf>
    <xf numFmtId="0" fontId="65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/>
    </xf>
    <xf numFmtId="185" fontId="0" fillId="2" borderId="0" xfId="0" applyNumberFormat="1" applyFont="1" applyFill="1" applyBorder="1" applyAlignment="1">
      <alignment vertical="top"/>
    </xf>
    <xf numFmtId="188" fontId="0" fillId="2" borderId="0" xfId="0" applyNumberFormat="1" applyFont="1" applyFill="1" applyBorder="1" applyAlignment="1">
      <alignment vertical="top"/>
    </xf>
    <xf numFmtId="189" fontId="0" fillId="2" borderId="0" xfId="0" applyNumberFormat="1" applyFont="1" applyFill="1" applyBorder="1" applyAlignment="1">
      <alignment vertical="top"/>
    </xf>
    <xf numFmtId="176" fontId="0" fillId="2" borderId="0" xfId="0" applyNumberFormat="1" applyFont="1" applyFill="1" applyBorder="1" applyAlignment="1">
      <alignment vertical="top"/>
    </xf>
    <xf numFmtId="9" fontId="3" fillId="2" borderId="0" xfId="6" applyFont="1" applyFill="1" applyBorder="1" applyAlignment="1">
      <alignment vertical="top"/>
    </xf>
    <xf numFmtId="183" fontId="0" fillId="2" borderId="0" xfId="0" applyNumberFormat="1" applyFill="1"/>
    <xf numFmtId="0" fontId="4" fillId="4" borderId="71" xfId="0" applyFont="1" applyFill="1" applyBorder="1" applyAlignment="1">
      <alignment horizontal="left" vertical="top"/>
    </xf>
    <xf numFmtId="0" fontId="4" fillId="4" borderId="72" xfId="0" applyFont="1" applyFill="1" applyBorder="1" applyAlignment="1">
      <alignment horizontal="left" vertical="top"/>
    </xf>
    <xf numFmtId="0" fontId="4" fillId="4" borderId="47" xfId="0" applyFont="1" applyFill="1" applyBorder="1" applyAlignment="1">
      <alignment horizontal="left" vertical="top"/>
    </xf>
    <xf numFmtId="0" fontId="4" fillId="4" borderId="45" xfId="0" applyFont="1" applyFill="1" applyBorder="1" applyAlignment="1">
      <alignment horizontal="left" vertical="top"/>
    </xf>
    <xf numFmtId="0" fontId="4" fillId="4" borderId="57" xfId="0" applyFont="1" applyFill="1" applyBorder="1" applyAlignment="1">
      <alignment horizontal="left" vertical="top"/>
    </xf>
    <xf numFmtId="0" fontId="4" fillId="4" borderId="58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4" fillId="0" borderId="24" xfId="0" applyFont="1" applyBorder="1" applyAlignment="1">
      <alignment vertical="center"/>
    </xf>
    <xf numFmtId="0" fontId="44" fillId="0" borderId="25" xfId="0" applyFont="1" applyBorder="1" applyAlignment="1">
      <alignment vertical="center"/>
    </xf>
    <xf numFmtId="0" fontId="4" fillId="2" borderId="28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left" vertical="top"/>
    </xf>
    <xf numFmtId="0" fontId="0" fillId="4" borderId="16" xfId="0" applyFont="1" applyFill="1" applyBorder="1" applyAlignment="1">
      <alignment horizontal="left" vertical="top"/>
    </xf>
    <xf numFmtId="0" fontId="44" fillId="0" borderId="52" xfId="0" applyFont="1" applyBorder="1" applyAlignment="1">
      <alignment vertical="center"/>
    </xf>
    <xf numFmtId="0" fontId="44" fillId="0" borderId="28" xfId="0" applyFont="1" applyBorder="1" applyAlignment="1">
      <alignment vertical="center"/>
    </xf>
    <xf numFmtId="0" fontId="44" fillId="0" borderId="53" xfId="0" applyFont="1" applyBorder="1" applyAlignment="1">
      <alignment vertical="center"/>
    </xf>
    <xf numFmtId="0" fontId="44" fillId="0" borderId="27" xfId="0" applyFont="1" applyBorder="1" applyAlignment="1">
      <alignment vertical="center"/>
    </xf>
    <xf numFmtId="0" fontId="44" fillId="0" borderId="54" xfId="0" applyFont="1" applyBorder="1" applyAlignment="1">
      <alignment horizontal="right" vertical="center"/>
    </xf>
    <xf numFmtId="0" fontId="44" fillId="0" borderId="55" xfId="0" applyFont="1" applyBorder="1" applyAlignment="1">
      <alignment horizontal="right" vertical="center"/>
    </xf>
    <xf numFmtId="0" fontId="44" fillId="0" borderId="56" xfId="0" applyFont="1" applyBorder="1" applyAlignment="1">
      <alignment horizontal="right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44" fillId="0" borderId="48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2" fontId="4" fillId="0" borderId="50" xfId="0" applyNumberFormat="1" applyFont="1" applyBorder="1" applyAlignment="1">
      <alignment horizontal="right" vertical="center" wrapText="1"/>
    </xf>
    <xf numFmtId="2" fontId="4" fillId="0" borderId="51" xfId="0" applyNumberFormat="1" applyFont="1" applyBorder="1" applyAlignment="1">
      <alignment horizontal="right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</cellXfs>
  <cellStyles count="8">
    <cellStyle name="Comma" xfId="1" builtinId="3"/>
    <cellStyle name="Comma 2" xfId="2"/>
    <cellStyle name="Hyperlink" xfId="3" builtinId="8"/>
    <cellStyle name="Normal" xfId="0" builtinId="0"/>
    <cellStyle name="Normal 2" xfId="4"/>
    <cellStyle name="Normal 3" xfId="5"/>
    <cellStyle name="Percent" xfId="6" builtinId="5"/>
    <cellStyle name="Percent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79995519242756E-2"/>
          <c:y val="5.1233138722837739E-2"/>
          <c:w val="0.74729994994154003"/>
          <c:h val="0.71250986496444257"/>
        </c:manualLayout>
      </c:layout>
      <c:lineChart>
        <c:grouping val="standard"/>
        <c:varyColors val="0"/>
        <c:ser>
          <c:idx val="0"/>
          <c:order val="0"/>
          <c:tx>
            <c:v>Cumulative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VER'!$C$6:$BJ$6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'Cumulative VER'!$C$9:$BJ$9</c:f>
              <c:numCache>
                <c:formatCode>_(* #,##0_);_(* \(#,##0\);_(* "-"??_);_(@_)</c:formatCode>
                <c:ptCount val="60"/>
                <c:pt idx="0">
                  <c:v>262</c:v>
                </c:pt>
                <c:pt idx="1">
                  <c:v>481.73939999999999</c:v>
                </c:pt>
                <c:pt idx="2">
                  <c:v>558.89980000000003</c:v>
                </c:pt>
                <c:pt idx="3">
                  <c:v>651.99549999999999</c:v>
                </c:pt>
                <c:pt idx="4">
                  <c:v>709.86580000000004</c:v>
                </c:pt>
                <c:pt idx="5">
                  <c:v>803.80020000000002</c:v>
                </c:pt>
                <c:pt idx="6">
                  <c:v>942.89300000000003</c:v>
                </c:pt>
                <c:pt idx="7">
                  <c:v>1061.2121999999999</c:v>
                </c:pt>
                <c:pt idx="8">
                  <c:v>1155.145</c:v>
                </c:pt>
                <c:pt idx="9">
                  <c:v>1231.9169999999999</c:v>
                </c:pt>
                <c:pt idx="10">
                  <c:v>1478.4905999999999</c:v>
                </c:pt>
                <c:pt idx="11">
                  <c:v>1800.0297999999998</c:v>
                </c:pt>
                <c:pt idx="12">
                  <c:v>2062.8609999999999</c:v>
                </c:pt>
                <c:pt idx="13">
                  <c:v>2214.5985999999998</c:v>
                </c:pt>
                <c:pt idx="14">
                  <c:v>2266.0809999999997</c:v>
                </c:pt>
                <c:pt idx="15">
                  <c:v>2354.5945999999994</c:v>
                </c:pt>
                <c:pt idx="16">
                  <c:v>2427.7537999999995</c:v>
                </c:pt>
                <c:pt idx="17">
                  <c:v>2509.9449999999997</c:v>
                </c:pt>
                <c:pt idx="18">
                  <c:v>2589.6214999999997</c:v>
                </c:pt>
                <c:pt idx="19">
                  <c:v>2720.4586999999997</c:v>
                </c:pt>
                <c:pt idx="20">
                  <c:v>2875.6181999999999</c:v>
                </c:pt>
                <c:pt idx="21">
                  <c:v>3033.2937999999999</c:v>
                </c:pt>
                <c:pt idx="22">
                  <c:v>3171.6792999999998</c:v>
                </c:pt>
                <c:pt idx="23">
                  <c:v>3269.8071999999997</c:v>
                </c:pt>
                <c:pt idx="24">
                  <c:v>3314.2582999999995</c:v>
                </c:pt>
                <c:pt idx="25">
                  <c:v>3411.5474999999997</c:v>
                </c:pt>
                <c:pt idx="26">
                  <c:v>3435.0310999999997</c:v>
                </c:pt>
                <c:pt idx="27">
                  <c:v>3471.0951999999997</c:v>
                </c:pt>
                <c:pt idx="28">
                  <c:v>3487.0304999999998</c:v>
                </c:pt>
                <c:pt idx="29">
                  <c:v>3559.9973999999997</c:v>
                </c:pt>
                <c:pt idx="30">
                  <c:v>3598.7053999999998</c:v>
                </c:pt>
                <c:pt idx="31">
                  <c:v>3646.1226999999999</c:v>
                </c:pt>
                <c:pt idx="32">
                  <c:v>3685.7983999999997</c:v>
                </c:pt>
                <c:pt idx="33">
                  <c:v>3714.8293999999996</c:v>
                </c:pt>
                <c:pt idx="34">
                  <c:v>3815.4701999999997</c:v>
                </c:pt>
                <c:pt idx="35">
                  <c:v>3963.5282999999999</c:v>
                </c:pt>
                <c:pt idx="36">
                  <c:v>4027.3964999999998</c:v>
                </c:pt>
                <c:pt idx="37">
                  <c:v>4083.5230999999999</c:v>
                </c:pt>
                <c:pt idx="38">
                  <c:v>4099.0063</c:v>
                </c:pt>
                <c:pt idx="39">
                  <c:v>4107.7156000000004</c:v>
                </c:pt>
                <c:pt idx="40">
                  <c:v>4144.4882000000007</c:v>
                </c:pt>
                <c:pt idx="41">
                  <c:v>4158.036000000001</c:v>
                </c:pt>
                <c:pt idx="42">
                  <c:v>4177.3900000000012</c:v>
                </c:pt>
                <c:pt idx="43">
                  <c:v>4194.8086000000012</c:v>
                </c:pt>
                <c:pt idx="44">
                  <c:v>4228.678100000001</c:v>
                </c:pt>
                <c:pt idx="45">
                  <c:v>4266.4184000000014</c:v>
                </c:pt>
                <c:pt idx="46">
                  <c:v>4305.126400000001</c:v>
                </c:pt>
                <c:pt idx="47">
                  <c:v>4341.8990000000013</c:v>
                </c:pt>
                <c:pt idx="48">
                  <c:v>4730</c:v>
                </c:pt>
                <c:pt idx="49">
                  <c:v>4791</c:v>
                </c:pt>
                <c:pt idx="50">
                  <c:v>4846</c:v>
                </c:pt>
                <c:pt idx="51">
                  <c:v>4916</c:v>
                </c:pt>
                <c:pt idx="52">
                  <c:v>5003</c:v>
                </c:pt>
                <c:pt idx="53">
                  <c:v>5133</c:v>
                </c:pt>
                <c:pt idx="54">
                  <c:v>5319</c:v>
                </c:pt>
                <c:pt idx="55">
                  <c:v>5553</c:v>
                </c:pt>
                <c:pt idx="56">
                  <c:v>5706</c:v>
                </c:pt>
                <c:pt idx="57">
                  <c:v>5971</c:v>
                </c:pt>
                <c:pt idx="58">
                  <c:v>6189</c:v>
                </c:pt>
                <c:pt idx="59">
                  <c:v>6266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533168"/>
        <c:axId val="-284546224"/>
      </c:lineChart>
      <c:lineChart>
        <c:grouping val="standard"/>
        <c:varyColors val="0"/>
        <c:ser>
          <c:idx val="1"/>
          <c:order val="1"/>
          <c:tx>
            <c:v>Monthly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VER'!$C$7:$BJ$7</c:f>
              <c:numCache>
                <c:formatCode>General</c:formatCode>
                <c:ptCount val="60"/>
                <c:pt idx="0">
                  <c:v>262</c:v>
                </c:pt>
                <c:pt idx="1">
                  <c:v>92</c:v>
                </c:pt>
                <c:pt idx="2">
                  <c:v>111</c:v>
                </c:pt>
                <c:pt idx="3">
                  <c:v>69</c:v>
                </c:pt>
                <c:pt idx="4">
                  <c:v>112</c:v>
                </c:pt>
                <c:pt idx="5">
                  <c:v>154</c:v>
                </c:pt>
                <c:pt idx="6">
                  <c:v>131</c:v>
                </c:pt>
                <c:pt idx="7">
                  <c:v>104</c:v>
                </c:pt>
                <c:pt idx="8">
                  <c:v>85</c:v>
                </c:pt>
                <c:pt idx="9">
                  <c:v>273</c:v>
                </c:pt>
                <c:pt idx="10">
                  <c:v>356</c:v>
                </c:pt>
                <c:pt idx="11">
                  <c:v>291</c:v>
                </c:pt>
                <c:pt idx="12">
                  <c:v>168</c:v>
                </c:pt>
                <c:pt idx="13">
                  <c:v>57</c:v>
                </c:pt>
                <c:pt idx="14">
                  <c:v>98</c:v>
                </c:pt>
                <c:pt idx="15">
                  <c:v>81</c:v>
                </c:pt>
                <c:pt idx="16">
                  <c:v>91</c:v>
                </c:pt>
                <c:pt idx="17">
                  <c:v>95</c:v>
                </c:pt>
                <c:pt idx="18">
                  <c:v>156</c:v>
                </c:pt>
                <c:pt idx="19">
                  <c:v>185</c:v>
                </c:pt>
                <c:pt idx="20">
                  <c:v>188</c:v>
                </c:pt>
                <c:pt idx="21">
                  <c:v>165</c:v>
                </c:pt>
                <c:pt idx="22">
                  <c:v>117</c:v>
                </c:pt>
                <c:pt idx="23">
                  <c:v>53</c:v>
                </c:pt>
                <c:pt idx="24" formatCode="_(* #,##0_);_(* \(#,##0\);_(* &quot;-&quot;??_);_(@_)">
                  <c:v>116</c:v>
                </c:pt>
                <c:pt idx="25" formatCode="_(* #,##0_);_(* \(#,##0\);_(* &quot;-&quot;??_);_(@_)">
                  <c:v>28</c:v>
                </c:pt>
                <c:pt idx="26" formatCode="_(* #,##0_);_(* \(#,##0\);_(* &quot;-&quot;??_);_(@_)">
                  <c:v>43</c:v>
                </c:pt>
                <c:pt idx="27" formatCode="_(* #,##0_);_(* \(#,##0\);_(* &quot;-&quot;??_);_(@_)">
                  <c:v>19</c:v>
                </c:pt>
                <c:pt idx="28" formatCode="_(* #,##0_);_(* \(#,##0\);_(* &quot;-&quot;??_);_(@_)">
                  <c:v>87</c:v>
                </c:pt>
                <c:pt idx="29" formatCode="_(* #,##0_);_(* \(#,##0\);_(* &quot;-&quot;??_);_(@_)">
                  <c:v>40</c:v>
                </c:pt>
                <c:pt idx="30" formatCode="_(* #,##0_);_(* \(#,##0\);_(* &quot;-&quot;??_);_(@_)">
                  <c:v>49</c:v>
                </c:pt>
                <c:pt idx="31" formatCode="_(* #,##0_);_(* \(#,##0\);_(* &quot;-&quot;??_);_(@_)">
                  <c:v>41</c:v>
                </c:pt>
                <c:pt idx="32" formatCode="_(* #,##0_);_(* \(#,##0\);_(* &quot;-&quot;??_);_(@_)">
                  <c:v>30</c:v>
                </c:pt>
                <c:pt idx="33" formatCode="_(* #,##0_);_(* \(#,##0\);_(* &quot;-&quot;??_);_(@_)">
                  <c:v>104</c:v>
                </c:pt>
                <c:pt idx="34" formatCode="_(* #,##0_);_(* \(#,##0\);_(* &quot;-&quot;??_);_(@_)">
                  <c:v>153</c:v>
                </c:pt>
                <c:pt idx="35" formatCode="_(* #,##0_);_(* \(#,##0\);_(* &quot;-&quot;??_);_(@_)">
                  <c:v>66</c:v>
                </c:pt>
                <c:pt idx="36" formatCode="_(* #,##0_);_(* \(#,##0\);_(* &quot;-&quot;??_);_(@_)">
                  <c:v>58</c:v>
                </c:pt>
                <c:pt idx="37" formatCode="_(* #,##0_);_(* \(#,##0\);_(* &quot;-&quot;??_);_(@_)">
                  <c:v>16</c:v>
                </c:pt>
                <c:pt idx="38" formatCode="_(* #,##0_);_(* \(#,##0\);_(* &quot;-&quot;??_);_(@_)">
                  <c:v>9</c:v>
                </c:pt>
                <c:pt idx="39" formatCode="_(* #,##0_);_(* \(#,##0\);_(* &quot;-&quot;??_);_(@_)">
                  <c:v>38</c:v>
                </c:pt>
                <c:pt idx="40" formatCode="_(* #,##0_);_(* \(#,##0\);_(* &quot;-&quot;??_);_(@_)">
                  <c:v>14</c:v>
                </c:pt>
                <c:pt idx="41" formatCode="_(* #,##0_);_(* \(#,##0\);_(* &quot;-&quot;??_);_(@_)">
                  <c:v>20</c:v>
                </c:pt>
                <c:pt idx="42" formatCode="_(* #,##0_);_(* \(#,##0\);_(* &quot;-&quot;??_);_(@_)">
                  <c:v>18</c:v>
                </c:pt>
                <c:pt idx="43" formatCode="_(* #,##0_);_(* \(#,##0\);_(* &quot;-&quot;??_);_(@_)">
                  <c:v>35</c:v>
                </c:pt>
                <c:pt idx="44" formatCode="_(* #,##0_);_(* \(#,##0\);_(* &quot;-&quot;??_);_(@_)">
                  <c:v>39</c:v>
                </c:pt>
                <c:pt idx="45" formatCode="_(* #,##0_);_(* \(#,##0\);_(* &quot;-&quot;??_);_(@_)">
                  <c:v>40</c:v>
                </c:pt>
                <c:pt idx="46" formatCode="_(* #,##0_);_(* \(#,##0\);_(* &quot;-&quot;??_);_(@_)">
                  <c:v>38</c:v>
                </c:pt>
                <c:pt idx="47" formatCode="_(* #,##0_);_(* \(#,##0\);_(* &quot;-&quot;??_);_(@_)">
                  <c:v>89</c:v>
                </c:pt>
                <c:pt idx="48" formatCode="_(* #,##0_);_(* \(#,##0\);_(* &quot;-&quot;??_);_(@_)">
                  <c:v>46</c:v>
                </c:pt>
                <c:pt idx="49" formatCode="_(* #,##0_);_(* \(#,##0\);_(* &quot;-&quot;??_);_(@_)">
                  <c:v>61</c:v>
                </c:pt>
                <c:pt idx="50" formatCode="_(* #,##0_);_(* \(#,##0\);_(* &quot;-&quot;??_);_(@_)">
                  <c:v>55</c:v>
                </c:pt>
                <c:pt idx="51" formatCode="_(* #,##0_);_(* \(#,##0\);_(* &quot;-&quot;??_);_(@_)">
                  <c:v>70</c:v>
                </c:pt>
                <c:pt idx="52" formatCode="_(* #,##0_);_(* \(#,##0\);_(* &quot;-&quot;??_);_(@_)">
                  <c:v>87</c:v>
                </c:pt>
                <c:pt idx="53" formatCode="_(* #,##0_);_(* \(#,##0\);_(* &quot;-&quot;??_);_(@_)">
                  <c:v>130</c:v>
                </c:pt>
                <c:pt idx="54" formatCode="_(* #,##0_);_(* \(#,##0\);_(* &quot;-&quot;??_);_(@_)">
                  <c:v>186</c:v>
                </c:pt>
                <c:pt idx="55" formatCode="_(* #,##0_);_(* \(#,##0\);_(* &quot;-&quot;??_);_(@_)">
                  <c:v>234</c:v>
                </c:pt>
                <c:pt idx="56" formatCode="_(* #,##0_);_(* \(#,##0\);_(* &quot;-&quot;??_);_(@_)">
                  <c:v>153</c:v>
                </c:pt>
                <c:pt idx="57" formatCode="_(* #,##0_);_(* \(#,##0\);_(* &quot;-&quot;??_);_(@_)">
                  <c:v>265</c:v>
                </c:pt>
                <c:pt idx="58" formatCode="_(* #,##0_);_(* \(#,##0\);_(* &quot;-&quot;??_);_(@_)">
                  <c:v>218</c:v>
                </c:pt>
                <c:pt idx="59" formatCode="_(* #,##0_);_(* \(#,##0\);_(* &quot;-&quot;??_);_(@_)">
                  <c:v>77</c:v>
                </c:pt>
              </c:numCache>
            </c:numRef>
          </c:cat>
          <c:val>
            <c:numRef>
              <c:f>'Cumulative VER'!$C$7:$BJ$7</c:f>
              <c:numCache>
                <c:formatCode>General</c:formatCode>
                <c:ptCount val="60"/>
                <c:pt idx="0">
                  <c:v>262</c:v>
                </c:pt>
                <c:pt idx="1">
                  <c:v>92</c:v>
                </c:pt>
                <c:pt idx="2">
                  <c:v>111</c:v>
                </c:pt>
                <c:pt idx="3">
                  <c:v>69</c:v>
                </c:pt>
                <c:pt idx="4">
                  <c:v>112</c:v>
                </c:pt>
                <c:pt idx="5">
                  <c:v>154</c:v>
                </c:pt>
                <c:pt idx="6">
                  <c:v>131</c:v>
                </c:pt>
                <c:pt idx="7">
                  <c:v>104</c:v>
                </c:pt>
                <c:pt idx="8">
                  <c:v>85</c:v>
                </c:pt>
                <c:pt idx="9">
                  <c:v>273</c:v>
                </c:pt>
                <c:pt idx="10">
                  <c:v>356</c:v>
                </c:pt>
                <c:pt idx="11">
                  <c:v>291</c:v>
                </c:pt>
                <c:pt idx="12">
                  <c:v>168</c:v>
                </c:pt>
                <c:pt idx="13">
                  <c:v>57</c:v>
                </c:pt>
                <c:pt idx="14">
                  <c:v>98</c:v>
                </c:pt>
                <c:pt idx="15">
                  <c:v>81</c:v>
                </c:pt>
                <c:pt idx="16">
                  <c:v>91</c:v>
                </c:pt>
                <c:pt idx="17">
                  <c:v>95</c:v>
                </c:pt>
                <c:pt idx="18">
                  <c:v>156</c:v>
                </c:pt>
                <c:pt idx="19">
                  <c:v>185</c:v>
                </c:pt>
                <c:pt idx="20">
                  <c:v>188</c:v>
                </c:pt>
                <c:pt idx="21">
                  <c:v>165</c:v>
                </c:pt>
                <c:pt idx="22">
                  <c:v>117</c:v>
                </c:pt>
                <c:pt idx="23">
                  <c:v>53</c:v>
                </c:pt>
                <c:pt idx="24" formatCode="_(* #,##0_);_(* \(#,##0\);_(* &quot;-&quot;??_);_(@_)">
                  <c:v>116</c:v>
                </c:pt>
                <c:pt idx="25" formatCode="_(* #,##0_);_(* \(#,##0\);_(* &quot;-&quot;??_);_(@_)">
                  <c:v>28</c:v>
                </c:pt>
                <c:pt idx="26" formatCode="_(* #,##0_);_(* \(#,##0\);_(* &quot;-&quot;??_);_(@_)">
                  <c:v>43</c:v>
                </c:pt>
                <c:pt idx="27" formatCode="_(* #,##0_);_(* \(#,##0\);_(* &quot;-&quot;??_);_(@_)">
                  <c:v>19</c:v>
                </c:pt>
                <c:pt idx="28" formatCode="_(* #,##0_);_(* \(#,##0\);_(* &quot;-&quot;??_);_(@_)">
                  <c:v>87</c:v>
                </c:pt>
                <c:pt idx="29" formatCode="_(* #,##0_);_(* \(#,##0\);_(* &quot;-&quot;??_);_(@_)">
                  <c:v>40</c:v>
                </c:pt>
                <c:pt idx="30" formatCode="_(* #,##0_);_(* \(#,##0\);_(* &quot;-&quot;??_);_(@_)">
                  <c:v>49</c:v>
                </c:pt>
                <c:pt idx="31" formatCode="_(* #,##0_);_(* \(#,##0\);_(* &quot;-&quot;??_);_(@_)">
                  <c:v>41</c:v>
                </c:pt>
                <c:pt idx="32" formatCode="_(* #,##0_);_(* \(#,##0\);_(* &quot;-&quot;??_);_(@_)">
                  <c:v>30</c:v>
                </c:pt>
                <c:pt idx="33" formatCode="_(* #,##0_);_(* \(#,##0\);_(* &quot;-&quot;??_);_(@_)">
                  <c:v>104</c:v>
                </c:pt>
                <c:pt idx="34" formatCode="_(* #,##0_);_(* \(#,##0\);_(* &quot;-&quot;??_);_(@_)">
                  <c:v>153</c:v>
                </c:pt>
                <c:pt idx="35" formatCode="_(* #,##0_);_(* \(#,##0\);_(* &quot;-&quot;??_);_(@_)">
                  <c:v>66</c:v>
                </c:pt>
                <c:pt idx="36" formatCode="_(* #,##0_);_(* \(#,##0\);_(* &quot;-&quot;??_);_(@_)">
                  <c:v>58</c:v>
                </c:pt>
                <c:pt idx="37" formatCode="_(* #,##0_);_(* \(#,##0\);_(* &quot;-&quot;??_);_(@_)">
                  <c:v>16</c:v>
                </c:pt>
                <c:pt idx="38" formatCode="_(* #,##0_);_(* \(#,##0\);_(* &quot;-&quot;??_);_(@_)">
                  <c:v>9</c:v>
                </c:pt>
                <c:pt idx="39" formatCode="_(* #,##0_);_(* \(#,##0\);_(* &quot;-&quot;??_);_(@_)">
                  <c:v>38</c:v>
                </c:pt>
                <c:pt idx="40" formatCode="_(* #,##0_);_(* \(#,##0\);_(* &quot;-&quot;??_);_(@_)">
                  <c:v>14</c:v>
                </c:pt>
                <c:pt idx="41" formatCode="_(* #,##0_);_(* \(#,##0\);_(* &quot;-&quot;??_);_(@_)">
                  <c:v>20</c:v>
                </c:pt>
                <c:pt idx="42" formatCode="_(* #,##0_);_(* \(#,##0\);_(* &quot;-&quot;??_);_(@_)">
                  <c:v>18</c:v>
                </c:pt>
                <c:pt idx="43" formatCode="_(* #,##0_);_(* \(#,##0\);_(* &quot;-&quot;??_);_(@_)">
                  <c:v>35</c:v>
                </c:pt>
                <c:pt idx="44" formatCode="_(* #,##0_);_(* \(#,##0\);_(* &quot;-&quot;??_);_(@_)">
                  <c:v>39</c:v>
                </c:pt>
                <c:pt idx="45" formatCode="_(* #,##0_);_(* \(#,##0\);_(* &quot;-&quot;??_);_(@_)">
                  <c:v>40</c:v>
                </c:pt>
                <c:pt idx="46" formatCode="_(* #,##0_);_(* \(#,##0\);_(* &quot;-&quot;??_);_(@_)">
                  <c:v>38</c:v>
                </c:pt>
                <c:pt idx="47" formatCode="_(* #,##0_);_(* \(#,##0\);_(* &quot;-&quot;??_);_(@_)">
                  <c:v>89</c:v>
                </c:pt>
                <c:pt idx="48" formatCode="_(* #,##0_);_(* \(#,##0\);_(* &quot;-&quot;??_);_(@_)">
                  <c:v>46</c:v>
                </c:pt>
                <c:pt idx="49" formatCode="_(* #,##0_);_(* \(#,##0\);_(* &quot;-&quot;??_);_(@_)">
                  <c:v>61</c:v>
                </c:pt>
                <c:pt idx="50" formatCode="_(* #,##0_);_(* \(#,##0\);_(* &quot;-&quot;??_);_(@_)">
                  <c:v>55</c:v>
                </c:pt>
                <c:pt idx="51" formatCode="_(* #,##0_);_(* \(#,##0\);_(* &quot;-&quot;??_);_(@_)">
                  <c:v>70</c:v>
                </c:pt>
                <c:pt idx="52" formatCode="_(* #,##0_);_(* \(#,##0\);_(* &quot;-&quot;??_);_(@_)">
                  <c:v>87</c:v>
                </c:pt>
                <c:pt idx="53" formatCode="_(* #,##0_);_(* \(#,##0\);_(* &quot;-&quot;??_);_(@_)">
                  <c:v>130</c:v>
                </c:pt>
                <c:pt idx="54" formatCode="_(* #,##0_);_(* \(#,##0\);_(* &quot;-&quot;??_);_(@_)">
                  <c:v>186</c:v>
                </c:pt>
                <c:pt idx="55" formatCode="_(* #,##0_);_(* \(#,##0\);_(* &quot;-&quot;??_);_(@_)">
                  <c:v>234</c:v>
                </c:pt>
                <c:pt idx="56" formatCode="_(* #,##0_);_(* \(#,##0\);_(* &quot;-&quot;??_);_(@_)">
                  <c:v>153</c:v>
                </c:pt>
                <c:pt idx="57" formatCode="_(* #,##0_);_(* \(#,##0\);_(* &quot;-&quot;??_);_(@_)">
                  <c:v>265</c:v>
                </c:pt>
                <c:pt idx="58" formatCode="_(* #,##0_);_(* \(#,##0\);_(* &quot;-&quot;??_);_(@_)">
                  <c:v>218</c:v>
                </c:pt>
                <c:pt idx="59" formatCode="_(* #,##0_);_(* \(#,##0\);_(* &quot;-&quot;??_);_(@_)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543504"/>
        <c:axId val="-284537520"/>
      </c:lineChart>
      <c:dateAx>
        <c:axId val="-2845331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84546224"/>
        <c:crosses val="autoZero"/>
        <c:auto val="1"/>
        <c:lblOffset val="100"/>
        <c:baseTimeUnit val="months"/>
      </c:dateAx>
      <c:valAx>
        <c:axId val="-2845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84533168"/>
        <c:crosses val="autoZero"/>
        <c:crossBetween val="between"/>
      </c:valAx>
      <c:catAx>
        <c:axId val="-28454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84537520"/>
        <c:crosses val="autoZero"/>
        <c:auto val="1"/>
        <c:lblAlgn val="ctr"/>
        <c:lblOffset val="100"/>
        <c:noMultiLvlLbl val="0"/>
      </c:catAx>
      <c:valAx>
        <c:axId val="-28453752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845435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4543504158523098E-2"/>
          <c:y val="0.88331723733948031"/>
          <c:w val="0.7217264683650636"/>
          <c:h val="8.22307338063780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17</xdr:row>
      <xdr:rowOff>114300</xdr:rowOff>
    </xdr:from>
    <xdr:to>
      <xdr:col>25</xdr:col>
      <xdr:colOff>22860</xdr:colOff>
      <xdr:row>34</xdr:row>
      <xdr:rowOff>114300</xdr:rowOff>
    </xdr:to>
    <xdr:graphicFrame macro="">
      <xdr:nvGraphicFramePr>
        <xdr:cNvPr id="1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10</xdr:row>
      <xdr:rowOff>76200</xdr:rowOff>
    </xdr:from>
    <xdr:to>
      <xdr:col>3</xdr:col>
      <xdr:colOff>739140</xdr:colOff>
      <xdr:row>11</xdr:row>
      <xdr:rowOff>213360</xdr:rowOff>
    </xdr:to>
    <xdr:pic>
      <xdr:nvPicPr>
        <xdr:cNvPr id="169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" y="1783080"/>
          <a:ext cx="34899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pcc-nggip.iges.or.jp/public/2006gl/pdf/4_Volume4/V4_10_Ch10_Livestock.pdf" TargetMode="External"/><Relationship Id="rId3" Type="http://schemas.openxmlformats.org/officeDocument/2006/relationships/hyperlink" Target="http://www.ipcc-nggip.iges.or.jp/public/2006gl/pdf/2_Volume2/V2_1_Ch1_Introduction.pdf" TargetMode="External"/><Relationship Id="rId7" Type="http://schemas.openxmlformats.org/officeDocument/2006/relationships/hyperlink" Target="http://www.ipcc-nggip.iges.or.jp/public/2006gl/pdf/4_Volume4/V4_10_Ch10_Livestock.pdf" TargetMode="External"/><Relationship Id="rId2" Type="http://schemas.openxmlformats.org/officeDocument/2006/relationships/hyperlink" Target="http://www.ipcc-nggip.iges.or.jp/public/2006gl/pdf/2_Volume2/V2_1_Ch1_Introduction.pdf" TargetMode="External"/><Relationship Id="rId1" Type="http://schemas.openxmlformats.org/officeDocument/2006/relationships/hyperlink" Target="http://wgbis.ces.iisc.ernet.in/energy/HC270799/RWEDP/acrobat/fd50.pdf" TargetMode="External"/><Relationship Id="rId6" Type="http://schemas.openxmlformats.org/officeDocument/2006/relationships/hyperlink" Target="http://www.ipcc-nggip.iges.or.jp/public/2006gl/pdf/2_Volume2/V2_1_Ch1_Introduction.pdf" TargetMode="External"/><Relationship Id="rId5" Type="http://schemas.openxmlformats.org/officeDocument/2006/relationships/hyperlink" Target="http://www.ipcc-nggip.iges.or.jp/public/2006gl/pdf/2_Volume2/V2_1_Ch1_Introduction.pdf" TargetMode="External"/><Relationship Id="rId4" Type="http://schemas.openxmlformats.org/officeDocument/2006/relationships/hyperlink" Target="http://wgbis.ces.iisc.ernet.in/energy/HC270799/RWEDP/acrobat/fd5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14"/>
  <sheetViews>
    <sheetView topLeftCell="D68" zoomScale="85" zoomScaleNormal="85" workbookViewId="0">
      <selection activeCell="F110" sqref="F110"/>
    </sheetView>
  </sheetViews>
  <sheetFormatPr defaultColWidth="9.109375" defaultRowHeight="13.2"/>
  <cols>
    <col min="1" max="1" width="9.109375" style="37"/>
    <col min="2" max="2" width="17.109375" style="34" bestFit="1" customWidth="1"/>
    <col min="3" max="3" width="15.44140625" style="34" customWidth="1"/>
    <col min="4" max="4" width="74.44140625" style="35" bestFit="1" customWidth="1"/>
    <col min="5" max="5" width="20.44140625" style="36" customWidth="1"/>
    <col min="6" max="6" width="22.44140625" style="36" customWidth="1"/>
    <col min="7" max="7" width="31.44140625" style="34" customWidth="1"/>
    <col min="8" max="8" width="16.109375" style="34" customWidth="1"/>
    <col min="9" max="9" width="15.44140625" style="34" customWidth="1"/>
    <col min="10" max="10" width="22.109375" style="34" customWidth="1"/>
    <col min="11" max="11" width="20.44140625" style="37" bestFit="1" customWidth="1"/>
    <col min="12" max="12" width="11.44140625" style="37" customWidth="1"/>
    <col min="13" max="13" width="18.109375" style="37" customWidth="1"/>
    <col min="14" max="16384" width="9.109375" style="37"/>
  </cols>
  <sheetData>
    <row r="1" spans="2:11" ht="13.8" thickBot="1"/>
    <row r="2" spans="2:11">
      <c r="B2" s="38" t="s">
        <v>11</v>
      </c>
      <c r="C2" s="39" t="s">
        <v>14</v>
      </c>
      <c r="D2" s="40" t="s">
        <v>3</v>
      </c>
      <c r="E2" s="41" t="s">
        <v>0</v>
      </c>
      <c r="F2" s="41" t="s">
        <v>6</v>
      </c>
      <c r="G2" s="42" t="s">
        <v>4</v>
      </c>
      <c r="H2" s="42"/>
      <c r="I2" s="43"/>
      <c r="K2" s="44"/>
    </row>
    <row r="3" spans="2:11" ht="15.6">
      <c r="B3" s="45"/>
      <c r="C3" s="46" t="s">
        <v>72</v>
      </c>
      <c r="D3" s="35" t="s">
        <v>223</v>
      </c>
      <c r="E3" s="332">
        <v>6266</v>
      </c>
      <c r="F3" s="36" t="s">
        <v>12</v>
      </c>
      <c r="G3" s="37" t="s">
        <v>244</v>
      </c>
      <c r="H3" s="47"/>
      <c r="I3" s="48"/>
      <c r="K3" s="34"/>
    </row>
    <row r="4" spans="2:11">
      <c r="B4" s="401" t="s">
        <v>2</v>
      </c>
      <c r="C4" s="402"/>
      <c r="D4" s="402"/>
      <c r="E4" s="402"/>
      <c r="F4" s="402"/>
      <c r="G4" s="402"/>
      <c r="H4" s="402"/>
      <c r="I4" s="49"/>
      <c r="J4" s="50"/>
    </row>
    <row r="5" spans="2:11">
      <c r="B5" s="51"/>
      <c r="C5" s="46"/>
      <c r="D5" s="52"/>
      <c r="E5" s="53" t="s">
        <v>204</v>
      </c>
      <c r="F5" s="54"/>
      <c r="H5" s="55"/>
      <c r="I5" s="48"/>
      <c r="K5" s="34"/>
    </row>
    <row r="6" spans="2:11">
      <c r="B6" s="56" t="s">
        <v>22</v>
      </c>
      <c r="C6" s="46"/>
      <c r="D6" s="52"/>
      <c r="E6" s="53"/>
      <c r="F6" s="54"/>
      <c r="H6" s="55"/>
      <c r="I6" s="48"/>
      <c r="K6" s="34"/>
    </row>
    <row r="7" spans="2:11">
      <c r="B7" s="45"/>
      <c r="C7" s="46"/>
      <c r="D7" s="52"/>
      <c r="E7" s="57"/>
      <c r="F7" s="58"/>
      <c r="G7" s="59"/>
      <c r="H7" s="60"/>
      <c r="I7" s="48"/>
      <c r="K7" s="34"/>
    </row>
    <row r="8" spans="2:11">
      <c r="B8" s="61" t="s">
        <v>23</v>
      </c>
      <c r="C8" s="46"/>
      <c r="D8" s="52"/>
      <c r="E8" s="62"/>
      <c r="F8" s="63"/>
      <c r="G8" s="59"/>
      <c r="H8" s="64"/>
      <c r="I8" s="48"/>
      <c r="K8" s="34"/>
    </row>
    <row r="9" spans="2:11">
      <c r="B9" s="45"/>
      <c r="C9" s="46"/>
      <c r="D9" s="65"/>
      <c r="E9" s="66"/>
      <c r="G9" s="59"/>
      <c r="H9" s="64"/>
      <c r="I9" s="48"/>
      <c r="K9" s="34"/>
    </row>
    <row r="10" spans="2:11" ht="15.6">
      <c r="B10" s="45"/>
      <c r="C10" s="46" t="s">
        <v>73</v>
      </c>
      <c r="D10" s="65" t="s">
        <v>52</v>
      </c>
      <c r="E10" s="62">
        <v>28</v>
      </c>
      <c r="G10" s="67" t="s">
        <v>26</v>
      </c>
      <c r="H10" s="68"/>
      <c r="I10" s="48"/>
    </row>
    <row r="11" spans="2:11" ht="15.6">
      <c r="B11" s="45"/>
      <c r="C11" s="46" t="s">
        <v>74</v>
      </c>
      <c r="D11" s="52" t="s">
        <v>37</v>
      </c>
      <c r="E11" s="333">
        <v>6.07</v>
      </c>
      <c r="G11" s="34" t="s">
        <v>245</v>
      </c>
      <c r="H11" s="68"/>
      <c r="I11" s="48"/>
    </row>
    <row r="12" spans="2:11" ht="15.6">
      <c r="B12" s="45"/>
      <c r="C12" s="46" t="s">
        <v>75</v>
      </c>
      <c r="D12" s="52" t="s">
        <v>24</v>
      </c>
      <c r="E12" s="62">
        <f>0.031</f>
        <v>3.1E-2</v>
      </c>
      <c r="F12" s="63" t="s">
        <v>25</v>
      </c>
      <c r="G12" s="59" t="s">
        <v>195</v>
      </c>
      <c r="I12" s="48"/>
    </row>
    <row r="13" spans="2:11" ht="15.6">
      <c r="B13" s="45"/>
      <c r="C13" s="69" t="s">
        <v>76</v>
      </c>
      <c r="D13" s="70" t="s">
        <v>53</v>
      </c>
      <c r="E13" s="118">
        <f>PRODUCT(E10:E12)</f>
        <v>5.2687600000000003</v>
      </c>
      <c r="F13" s="218" t="s">
        <v>202</v>
      </c>
      <c r="G13" s="71" t="s">
        <v>10</v>
      </c>
      <c r="H13" s="68"/>
      <c r="I13" s="48"/>
    </row>
    <row r="14" spans="2:11">
      <c r="B14" s="45"/>
      <c r="C14" s="46"/>
      <c r="E14" s="72"/>
      <c r="F14" s="73"/>
      <c r="H14" s="68"/>
      <c r="I14" s="48"/>
    </row>
    <row r="15" spans="2:11">
      <c r="B15" s="56" t="s">
        <v>33</v>
      </c>
      <c r="C15" s="46"/>
      <c r="D15" s="52"/>
      <c r="E15" s="74"/>
      <c r="H15" s="68"/>
      <c r="I15" s="48"/>
    </row>
    <row r="16" spans="2:11">
      <c r="B16" s="56"/>
      <c r="C16" s="46"/>
      <c r="D16" s="52"/>
      <c r="E16" s="74"/>
      <c r="H16" s="68"/>
      <c r="I16" s="48"/>
    </row>
    <row r="17" spans="2:11">
      <c r="B17" s="56" t="s">
        <v>15</v>
      </c>
      <c r="C17" s="46"/>
      <c r="D17" s="52"/>
      <c r="E17" s="53"/>
      <c r="F17" s="54"/>
      <c r="H17" s="68"/>
      <c r="I17" s="48"/>
    </row>
    <row r="18" spans="2:11" ht="15.6">
      <c r="B18" s="51"/>
      <c r="C18" s="34" t="s">
        <v>77</v>
      </c>
      <c r="D18" s="75" t="s">
        <v>39</v>
      </c>
      <c r="E18" s="282">
        <f>0.168/1000</f>
        <v>1.6800000000000002E-4</v>
      </c>
      <c r="F18" s="285" t="s">
        <v>21</v>
      </c>
      <c r="G18" s="280" t="s">
        <v>246</v>
      </c>
      <c r="H18" s="286"/>
      <c r="I18" s="287"/>
      <c r="K18" s="34"/>
    </row>
    <row r="19" spans="2:11" ht="15.6">
      <c r="B19" s="51"/>
      <c r="C19" s="46" t="s">
        <v>78</v>
      </c>
      <c r="D19" s="35" t="s">
        <v>38</v>
      </c>
      <c r="E19" s="74">
        <v>47.3</v>
      </c>
      <c r="F19" s="36" t="s">
        <v>19</v>
      </c>
      <c r="G19" s="59" t="s">
        <v>20</v>
      </c>
      <c r="H19" s="68"/>
      <c r="I19" s="48"/>
    </row>
    <row r="20" spans="2:11" ht="15.6">
      <c r="B20" s="51"/>
      <c r="C20" s="46" t="s">
        <v>79</v>
      </c>
      <c r="D20" s="35" t="s">
        <v>80</v>
      </c>
      <c r="E20" s="74">
        <v>63.1</v>
      </c>
      <c r="F20" s="36" t="s">
        <v>81</v>
      </c>
      <c r="G20" s="34" t="s">
        <v>17</v>
      </c>
      <c r="H20" s="68"/>
      <c r="I20" s="48"/>
    </row>
    <row r="21" spans="2:11" ht="15.6">
      <c r="B21" s="51"/>
      <c r="C21" s="46" t="s">
        <v>82</v>
      </c>
      <c r="D21" s="75" t="s">
        <v>43</v>
      </c>
      <c r="E21" s="79">
        <f>E18*E19*E20</f>
        <v>0.50141784000000011</v>
      </c>
      <c r="F21" s="73" t="s">
        <v>83</v>
      </c>
      <c r="G21" s="71" t="s">
        <v>10</v>
      </c>
      <c r="H21" s="68"/>
      <c r="I21" s="48"/>
    </row>
    <row r="22" spans="2:11">
      <c r="B22" s="51"/>
      <c r="C22" s="76"/>
      <c r="D22" s="77"/>
      <c r="E22" s="78"/>
      <c r="F22" s="73"/>
      <c r="H22" s="68"/>
      <c r="I22" s="48"/>
    </row>
    <row r="23" spans="2:11">
      <c r="B23" s="56" t="s">
        <v>16</v>
      </c>
      <c r="H23" s="68"/>
      <c r="I23" s="48"/>
    </row>
    <row r="24" spans="2:11" ht="15.6">
      <c r="B24" s="51"/>
      <c r="C24" s="34" t="s">
        <v>77</v>
      </c>
      <c r="D24" s="75" t="s">
        <v>39</v>
      </c>
      <c r="E24" s="282">
        <f>0.007/1000</f>
        <v>6.9999999999999999E-6</v>
      </c>
      <c r="F24" s="285" t="s">
        <v>21</v>
      </c>
      <c r="G24" s="280" t="s">
        <v>247</v>
      </c>
      <c r="H24" s="68"/>
      <c r="I24" s="287"/>
    </row>
    <row r="25" spans="2:11" ht="15.6">
      <c r="B25" s="45"/>
      <c r="C25" s="46" t="s">
        <v>78</v>
      </c>
      <c r="D25" s="35" t="s">
        <v>38</v>
      </c>
      <c r="E25" s="74">
        <v>43.8</v>
      </c>
      <c r="F25" s="36" t="s">
        <v>19</v>
      </c>
      <c r="G25" s="59" t="s">
        <v>20</v>
      </c>
      <c r="H25" s="68"/>
      <c r="I25" s="48"/>
    </row>
    <row r="26" spans="2:11" ht="15.6">
      <c r="B26" s="45"/>
      <c r="C26" s="46" t="s">
        <v>79</v>
      </c>
      <c r="D26" s="35" t="s">
        <v>80</v>
      </c>
      <c r="E26" s="74">
        <v>71.900000000000006</v>
      </c>
      <c r="F26" s="36" t="s">
        <v>81</v>
      </c>
      <c r="G26" s="34" t="s">
        <v>17</v>
      </c>
      <c r="H26" s="68"/>
      <c r="I26" s="48"/>
    </row>
    <row r="27" spans="2:11" ht="15.6">
      <c r="B27" s="45"/>
      <c r="C27" s="46" t="s">
        <v>82</v>
      </c>
      <c r="D27" s="75" t="s">
        <v>42</v>
      </c>
      <c r="E27" s="79">
        <f>E24*E25*E26</f>
        <v>2.2044540000000001E-2</v>
      </c>
      <c r="F27" s="73" t="s">
        <v>83</v>
      </c>
      <c r="G27" s="71" t="s">
        <v>10</v>
      </c>
      <c r="H27" s="68"/>
      <c r="I27" s="48"/>
    </row>
    <row r="28" spans="2:11" ht="15.6">
      <c r="B28" s="45"/>
      <c r="C28" s="76" t="s">
        <v>84</v>
      </c>
      <c r="D28" s="77" t="s">
        <v>85</v>
      </c>
      <c r="E28" s="117">
        <f>E21+E27</f>
        <v>0.52346238000000012</v>
      </c>
      <c r="F28" s="73" t="s">
        <v>86</v>
      </c>
      <c r="G28" s="71" t="s">
        <v>10</v>
      </c>
      <c r="H28" s="68"/>
      <c r="I28" s="48"/>
    </row>
    <row r="29" spans="2:11">
      <c r="B29" s="56"/>
      <c r="C29" s="76"/>
      <c r="D29" s="80"/>
      <c r="E29" s="81"/>
      <c r="F29" s="73"/>
      <c r="H29" s="68"/>
      <c r="I29" s="48"/>
    </row>
    <row r="30" spans="2:11" ht="15.6">
      <c r="B30" s="56" t="s">
        <v>32</v>
      </c>
      <c r="C30" s="82" t="s">
        <v>87</v>
      </c>
      <c r="D30" s="75" t="s">
        <v>41</v>
      </c>
      <c r="E30" s="53">
        <v>0.64800000000000002</v>
      </c>
      <c r="F30" s="36" t="s">
        <v>7</v>
      </c>
      <c r="G30" s="59" t="s">
        <v>18</v>
      </c>
      <c r="H30" s="68"/>
      <c r="I30" s="48"/>
    </row>
    <row r="31" spans="2:11" ht="15.6">
      <c r="B31" s="45"/>
      <c r="C31" s="34" t="s">
        <v>88</v>
      </c>
      <c r="D31" s="75" t="s">
        <v>40</v>
      </c>
      <c r="E31" s="283">
        <v>0.54900000000000004</v>
      </c>
      <c r="F31" s="288" t="s">
        <v>13</v>
      </c>
      <c r="G31" s="280" t="s">
        <v>248</v>
      </c>
      <c r="H31" s="68"/>
      <c r="I31" s="287"/>
    </row>
    <row r="32" spans="2:11" ht="15.6">
      <c r="B32" s="45"/>
      <c r="C32" s="46" t="s">
        <v>89</v>
      </c>
      <c r="D32" s="52" t="s">
        <v>9</v>
      </c>
      <c r="E32" s="74">
        <v>1.4999999999999999E-2</v>
      </c>
      <c r="F32" s="36" t="s">
        <v>8</v>
      </c>
      <c r="G32" s="34" t="s">
        <v>17</v>
      </c>
      <c r="H32" s="68"/>
      <c r="I32" s="48"/>
    </row>
    <row r="33" spans="2:11" ht="15.6">
      <c r="B33" s="45"/>
      <c r="C33" s="46" t="s">
        <v>90</v>
      </c>
      <c r="D33" s="35" t="s">
        <v>91</v>
      </c>
      <c r="E33" s="83">
        <v>112</v>
      </c>
      <c r="F33" s="36" t="s">
        <v>81</v>
      </c>
      <c r="G33" s="34" t="s">
        <v>17</v>
      </c>
      <c r="H33" s="68"/>
      <c r="I33" s="48"/>
    </row>
    <row r="34" spans="2:11" ht="17.25" customHeight="1">
      <c r="B34" s="45"/>
      <c r="C34" s="46" t="s">
        <v>82</v>
      </c>
      <c r="D34" s="75" t="s">
        <v>44</v>
      </c>
      <c r="E34" s="119">
        <f>E30*E31*E32*E33</f>
        <v>0.59766335999999998</v>
      </c>
      <c r="F34" s="73" t="s">
        <v>83</v>
      </c>
      <c r="G34" s="86" t="s">
        <v>10</v>
      </c>
      <c r="H34" s="84"/>
      <c r="I34" s="48"/>
      <c r="J34" s="37"/>
    </row>
    <row r="35" spans="2:11" ht="15.6">
      <c r="B35" s="45"/>
      <c r="C35" s="69" t="s">
        <v>196</v>
      </c>
      <c r="D35" s="70" t="s">
        <v>45</v>
      </c>
      <c r="E35" s="104">
        <f>(E28+E34)</f>
        <v>1.1211257400000001</v>
      </c>
      <c r="F35" s="85" t="s">
        <v>203</v>
      </c>
      <c r="G35" s="86" t="s">
        <v>10</v>
      </c>
      <c r="I35" s="48"/>
      <c r="J35" s="37"/>
    </row>
    <row r="36" spans="2:11">
      <c r="B36" s="45"/>
      <c r="C36" s="76"/>
      <c r="D36" s="80"/>
      <c r="E36" s="87"/>
      <c r="F36" s="73"/>
      <c r="I36" s="48"/>
      <c r="J36" s="37"/>
    </row>
    <row r="37" spans="2:11" ht="15.6">
      <c r="B37" s="88"/>
      <c r="C37" s="89" t="s">
        <v>92</v>
      </c>
      <c r="D37" s="90" t="s">
        <v>46</v>
      </c>
      <c r="E37" s="105">
        <f>E35+E13</f>
        <v>6.3898857400000004</v>
      </c>
      <c r="F37" s="91" t="s">
        <v>93</v>
      </c>
      <c r="G37" s="92" t="s">
        <v>10</v>
      </c>
      <c r="H37" s="93"/>
      <c r="I37" s="94"/>
      <c r="J37" s="37"/>
    </row>
    <row r="38" spans="2:11">
      <c r="B38" s="403" t="s">
        <v>1</v>
      </c>
      <c r="C38" s="404"/>
      <c r="D38" s="404"/>
      <c r="E38" s="404"/>
      <c r="F38" s="404"/>
      <c r="G38" s="404"/>
      <c r="H38" s="404"/>
      <c r="I38" s="95"/>
      <c r="J38" s="96"/>
    </row>
    <row r="39" spans="2:11">
      <c r="B39" s="56" t="s">
        <v>22</v>
      </c>
      <c r="C39" s="46"/>
      <c r="D39" s="52"/>
      <c r="E39" s="53"/>
      <c r="F39" s="54"/>
      <c r="H39" s="55"/>
      <c r="I39" s="97"/>
      <c r="J39" s="98"/>
      <c r="K39" s="34"/>
    </row>
    <row r="40" spans="2:11">
      <c r="B40" s="45"/>
      <c r="C40" s="46"/>
      <c r="D40" s="52"/>
      <c r="E40" s="57"/>
      <c r="F40" s="58"/>
      <c r="G40" s="59"/>
      <c r="H40" s="60"/>
      <c r="I40" s="48"/>
      <c r="K40" s="34"/>
    </row>
    <row r="41" spans="2:11">
      <c r="B41" s="61" t="s">
        <v>23</v>
      </c>
      <c r="C41" s="46"/>
      <c r="D41" s="52"/>
      <c r="E41" s="62"/>
      <c r="F41" s="63"/>
      <c r="G41" s="59"/>
      <c r="H41" s="64"/>
      <c r="I41" s="48"/>
      <c r="K41" s="34"/>
    </row>
    <row r="42" spans="2:11">
      <c r="B42" s="45"/>
      <c r="C42" s="46"/>
      <c r="D42" s="65"/>
      <c r="E42" s="66"/>
      <c r="G42" s="59"/>
      <c r="H42" s="64"/>
      <c r="I42" s="48"/>
      <c r="K42" s="34"/>
    </row>
    <row r="43" spans="2:11" ht="15.6">
      <c r="B43" s="45"/>
      <c r="C43" s="46" t="s">
        <v>73</v>
      </c>
      <c r="D43" s="65" t="s">
        <v>52</v>
      </c>
      <c r="E43" s="62">
        <f>E10</f>
        <v>28</v>
      </c>
      <c r="G43" s="67" t="s">
        <v>26</v>
      </c>
      <c r="H43" s="68"/>
      <c r="I43" s="48"/>
      <c r="K43" s="34"/>
    </row>
    <row r="44" spans="2:11" ht="15.6">
      <c r="B44" s="45"/>
      <c r="C44" s="46" t="s">
        <v>74</v>
      </c>
      <c r="D44" s="52" t="s">
        <v>37</v>
      </c>
      <c r="E44" s="333">
        <f>E11</f>
        <v>6.07</v>
      </c>
      <c r="G44" s="34" t="str">
        <f>G11</f>
        <v>20220420 BUS_Tabulation 2021 | sheet Tabulation | cell AB119</v>
      </c>
      <c r="H44" s="68"/>
      <c r="I44" s="48"/>
    </row>
    <row r="45" spans="2:11" ht="15.6">
      <c r="B45" s="45"/>
      <c r="C45" s="46" t="s">
        <v>75</v>
      </c>
      <c r="D45" s="52" t="s">
        <v>24</v>
      </c>
      <c r="E45" s="62">
        <f>E12</f>
        <v>3.1E-2</v>
      </c>
      <c r="F45" s="63" t="s">
        <v>25</v>
      </c>
      <c r="G45" s="59" t="s">
        <v>195</v>
      </c>
      <c r="I45" s="48"/>
    </row>
    <row r="46" spans="2:11" ht="15.6">
      <c r="B46" s="45"/>
      <c r="C46" s="34" t="s">
        <v>94</v>
      </c>
      <c r="D46" s="52" t="s">
        <v>34</v>
      </c>
      <c r="E46" s="99">
        <v>0.1</v>
      </c>
      <c r="F46" s="63"/>
      <c r="G46" s="59"/>
      <c r="I46" s="48"/>
      <c r="K46" s="34"/>
    </row>
    <row r="47" spans="2:11" ht="15.6">
      <c r="B47" s="45"/>
      <c r="C47" s="17" t="s">
        <v>95</v>
      </c>
      <c r="D47" s="52" t="s">
        <v>31</v>
      </c>
      <c r="E47" s="99">
        <v>0.5</v>
      </c>
      <c r="F47" s="63"/>
      <c r="G47" s="34" t="s">
        <v>35</v>
      </c>
      <c r="I47" s="48"/>
      <c r="K47" s="34"/>
    </row>
    <row r="48" spans="2:11" ht="15.6">
      <c r="B48" s="45"/>
      <c r="C48" s="69" t="s">
        <v>96</v>
      </c>
      <c r="D48" s="70" t="s">
        <v>54</v>
      </c>
      <c r="E48" s="118">
        <f>E43*((E44*E45*E46)+(E44*E45)*(1-E46)*(1-E47))</f>
        <v>2.897818</v>
      </c>
      <c r="F48" s="218" t="s">
        <v>202</v>
      </c>
      <c r="G48" s="71" t="s">
        <v>10</v>
      </c>
      <c r="H48" s="68"/>
      <c r="I48" s="48"/>
      <c r="K48" s="34"/>
    </row>
    <row r="49" spans="2:11">
      <c r="B49" s="45"/>
      <c r="C49" s="46"/>
      <c r="I49" s="48"/>
      <c r="K49" s="34"/>
    </row>
    <row r="50" spans="2:11">
      <c r="B50" s="56" t="s">
        <v>33</v>
      </c>
      <c r="C50" s="46"/>
      <c r="D50" s="100"/>
      <c r="E50" s="74"/>
      <c r="H50" s="68"/>
      <c r="I50" s="48"/>
    </row>
    <row r="51" spans="2:11">
      <c r="B51" s="56"/>
      <c r="C51" s="46"/>
      <c r="D51" s="52"/>
      <c r="E51" s="74"/>
      <c r="H51" s="68"/>
      <c r="I51" s="48"/>
    </row>
    <row r="52" spans="2:11">
      <c r="B52" s="56" t="s">
        <v>15</v>
      </c>
      <c r="C52" s="46"/>
      <c r="D52" s="52"/>
      <c r="E52" s="53"/>
      <c r="F52" s="54"/>
      <c r="H52" s="68"/>
      <c r="I52" s="48"/>
    </row>
    <row r="53" spans="2:11" ht="15.6">
      <c r="B53" s="51"/>
      <c r="C53" s="34" t="s">
        <v>97</v>
      </c>
      <c r="D53" s="75" t="s">
        <v>47</v>
      </c>
      <c r="E53" s="282">
        <f>0.1/1000</f>
        <v>1E-4</v>
      </c>
      <c r="F53" s="285" t="s">
        <v>21</v>
      </c>
      <c r="G53" s="280" t="s">
        <v>249</v>
      </c>
      <c r="H53" s="280"/>
      <c r="I53" s="289"/>
    </row>
    <row r="54" spans="2:11" ht="15.6">
      <c r="B54" s="51"/>
      <c r="C54" s="46" t="s">
        <v>78</v>
      </c>
      <c r="D54" s="35" t="s">
        <v>38</v>
      </c>
      <c r="E54" s="74">
        <v>47.3</v>
      </c>
      <c r="F54" s="36" t="s">
        <v>19</v>
      </c>
      <c r="G54" s="59" t="s">
        <v>20</v>
      </c>
      <c r="H54" s="68"/>
      <c r="I54" s="48"/>
    </row>
    <row r="55" spans="2:11" ht="15.6">
      <c r="B55" s="51"/>
      <c r="C55" s="46" t="s">
        <v>98</v>
      </c>
      <c r="D55" s="35" t="s">
        <v>99</v>
      </c>
      <c r="E55" s="74">
        <v>63.1</v>
      </c>
      <c r="F55" s="36" t="s">
        <v>81</v>
      </c>
      <c r="G55" s="34" t="s">
        <v>17</v>
      </c>
      <c r="H55" s="68"/>
      <c r="I55" s="48"/>
    </row>
    <row r="56" spans="2:11" ht="15.6">
      <c r="B56" s="51"/>
      <c r="C56" s="46" t="s">
        <v>100</v>
      </c>
      <c r="D56" s="75" t="s">
        <v>48</v>
      </c>
      <c r="E56" s="79">
        <f>E53*E54*E55</f>
        <v>0.29846299999999998</v>
      </c>
      <c r="F56" s="73" t="s">
        <v>83</v>
      </c>
      <c r="G56" s="71" t="s">
        <v>10</v>
      </c>
      <c r="H56" s="68"/>
      <c r="I56" s="48"/>
      <c r="J56" s="37"/>
    </row>
    <row r="57" spans="2:11">
      <c r="B57" s="51"/>
      <c r="C57" s="76"/>
      <c r="D57" s="77"/>
      <c r="E57" s="78"/>
      <c r="F57" s="73"/>
      <c r="H57" s="68"/>
      <c r="I57" s="48"/>
      <c r="J57" s="37"/>
    </row>
    <row r="58" spans="2:11">
      <c r="B58" s="56" t="s">
        <v>16</v>
      </c>
      <c r="H58" s="68"/>
      <c r="I58" s="48"/>
      <c r="J58" s="37"/>
    </row>
    <row r="59" spans="2:11" ht="15.6">
      <c r="B59" s="51"/>
      <c r="C59" s="34" t="s">
        <v>97</v>
      </c>
      <c r="D59" s="75" t="s">
        <v>47</v>
      </c>
      <c r="E59" s="282">
        <v>0</v>
      </c>
      <c r="F59" s="285" t="s">
        <v>21</v>
      </c>
      <c r="G59" s="280" t="s">
        <v>250</v>
      </c>
      <c r="H59" s="280"/>
      <c r="I59" s="289"/>
      <c r="J59" s="37"/>
    </row>
    <row r="60" spans="2:11" ht="15.6">
      <c r="B60" s="45"/>
      <c r="C60" s="46" t="s">
        <v>78</v>
      </c>
      <c r="D60" s="35" t="s">
        <v>38</v>
      </c>
      <c r="E60" s="74">
        <v>43.8</v>
      </c>
      <c r="F60" s="36" t="s">
        <v>19</v>
      </c>
      <c r="G60" s="59" t="s">
        <v>20</v>
      </c>
      <c r="H60" s="68"/>
      <c r="I60" s="48"/>
      <c r="J60" s="37"/>
    </row>
    <row r="61" spans="2:11" ht="15.6">
      <c r="B61" s="45"/>
      <c r="C61" s="46" t="s">
        <v>98</v>
      </c>
      <c r="D61" s="35" t="s">
        <v>99</v>
      </c>
      <c r="E61" s="74">
        <v>71.900000000000006</v>
      </c>
      <c r="F61" s="36" t="s">
        <v>81</v>
      </c>
      <c r="G61" s="34" t="s">
        <v>17</v>
      </c>
      <c r="H61" s="68"/>
      <c r="I61" s="48"/>
      <c r="J61" s="37"/>
    </row>
    <row r="62" spans="2:11" ht="15.6">
      <c r="B62" s="45"/>
      <c r="C62" s="46" t="s">
        <v>100</v>
      </c>
      <c r="D62" s="75" t="s">
        <v>49</v>
      </c>
      <c r="E62" s="79">
        <f>E59*E60*E61</f>
        <v>0</v>
      </c>
      <c r="F62" s="73" t="s">
        <v>83</v>
      </c>
      <c r="G62" s="71" t="s">
        <v>10</v>
      </c>
      <c r="H62" s="68"/>
      <c r="I62" s="48"/>
      <c r="J62" s="37"/>
    </row>
    <row r="63" spans="2:11" ht="15.6">
      <c r="B63" s="45"/>
      <c r="C63" s="76" t="s">
        <v>101</v>
      </c>
      <c r="D63" s="77" t="s">
        <v>102</v>
      </c>
      <c r="E63" s="117">
        <f>E56+E62</f>
        <v>0.29846299999999998</v>
      </c>
      <c r="F63" s="73" t="s">
        <v>86</v>
      </c>
      <c r="G63" s="71" t="s">
        <v>10</v>
      </c>
      <c r="H63" s="68"/>
      <c r="I63" s="48"/>
      <c r="J63" s="37"/>
    </row>
    <row r="64" spans="2:11">
      <c r="B64" s="56"/>
      <c r="C64" s="76"/>
      <c r="D64" s="80"/>
      <c r="E64" s="81"/>
      <c r="F64" s="73"/>
      <c r="H64" s="68"/>
      <c r="I64" s="48"/>
      <c r="J64" s="37"/>
    </row>
    <row r="65" spans="2:11" ht="15.6">
      <c r="B65" s="56" t="s">
        <v>32</v>
      </c>
      <c r="C65" s="82" t="s">
        <v>87</v>
      </c>
      <c r="D65" s="75" t="s">
        <v>41</v>
      </c>
      <c r="E65" s="53">
        <v>0.64800000000000002</v>
      </c>
      <c r="F65" s="36" t="s">
        <v>7</v>
      </c>
      <c r="G65" s="59" t="s">
        <v>18</v>
      </c>
      <c r="H65" s="68"/>
      <c r="I65" s="48"/>
      <c r="J65" s="37"/>
    </row>
    <row r="66" spans="2:11" ht="15.6">
      <c r="B66" s="45"/>
      <c r="C66" s="34" t="s">
        <v>103</v>
      </c>
      <c r="D66" s="75" t="s">
        <v>50</v>
      </c>
      <c r="E66" s="283">
        <v>0.3</v>
      </c>
      <c r="F66" s="288" t="s">
        <v>13</v>
      </c>
      <c r="G66" s="280" t="s">
        <v>251</v>
      </c>
      <c r="H66" s="280"/>
      <c r="I66" s="289"/>
      <c r="J66" s="37"/>
    </row>
    <row r="67" spans="2:11" ht="15.6">
      <c r="B67" s="45"/>
      <c r="C67" s="46" t="s">
        <v>89</v>
      </c>
      <c r="D67" s="52" t="s">
        <v>9</v>
      </c>
      <c r="E67" s="74">
        <v>1.4999999999999999E-2</v>
      </c>
      <c r="F67" s="36" t="s">
        <v>8</v>
      </c>
      <c r="G67" s="34" t="s">
        <v>17</v>
      </c>
      <c r="H67" s="68"/>
      <c r="I67" s="48"/>
      <c r="J67" s="37"/>
    </row>
    <row r="68" spans="2:11" ht="15.6">
      <c r="B68" s="45"/>
      <c r="C68" s="46" t="s">
        <v>104</v>
      </c>
      <c r="D68" s="35" t="s">
        <v>105</v>
      </c>
      <c r="E68" s="83">
        <v>112</v>
      </c>
      <c r="F68" s="36" t="s">
        <v>81</v>
      </c>
      <c r="G68" s="34" t="s">
        <v>17</v>
      </c>
      <c r="H68" s="68"/>
      <c r="I68" s="48"/>
      <c r="J68" s="37"/>
    </row>
    <row r="69" spans="2:11" ht="15.6">
      <c r="B69" s="45"/>
      <c r="C69" s="46" t="s">
        <v>100</v>
      </c>
      <c r="D69" s="75" t="s">
        <v>51</v>
      </c>
      <c r="E69" s="119">
        <f>E65*E66*E67*E68</f>
        <v>0.32659199999999999</v>
      </c>
      <c r="F69" s="73" t="s">
        <v>83</v>
      </c>
      <c r="G69" s="71" t="s">
        <v>10</v>
      </c>
      <c r="H69" s="68"/>
      <c r="I69" s="48"/>
      <c r="J69" s="37"/>
    </row>
    <row r="70" spans="2:11" ht="15.6">
      <c r="B70" s="45"/>
      <c r="C70" s="69" t="s">
        <v>199</v>
      </c>
      <c r="D70" s="70" t="s">
        <v>55</v>
      </c>
      <c r="E70" s="104">
        <f>(E63+E69)</f>
        <v>0.62505499999999992</v>
      </c>
      <c r="F70" s="85" t="s">
        <v>203</v>
      </c>
      <c r="G70" s="71" t="s">
        <v>10</v>
      </c>
      <c r="H70" s="68"/>
      <c r="I70" s="48"/>
    </row>
    <row r="71" spans="2:11">
      <c r="B71" s="45"/>
      <c r="C71" s="69"/>
      <c r="D71" s="70"/>
      <c r="E71" s="175"/>
      <c r="F71" s="85"/>
      <c r="G71" s="86"/>
      <c r="H71" s="101"/>
      <c r="I71" s="48"/>
    </row>
    <row r="72" spans="2:11" ht="15.6">
      <c r="B72" s="56" t="s">
        <v>156</v>
      </c>
      <c r="C72" s="69" t="s">
        <v>200</v>
      </c>
      <c r="D72" s="70" t="s">
        <v>157</v>
      </c>
      <c r="E72" s="104">
        <f>'Bio-slurry | 2021'!C45</f>
        <v>1.6234955835710978E-2</v>
      </c>
      <c r="F72" s="237" t="s">
        <v>203</v>
      </c>
      <c r="G72" s="86" t="s">
        <v>258</v>
      </c>
      <c r="H72" s="238"/>
      <c r="I72" s="48"/>
    </row>
    <row r="73" spans="2:11">
      <c r="B73" s="45"/>
      <c r="C73" s="76"/>
      <c r="D73" s="77"/>
      <c r="E73" s="87"/>
      <c r="F73" s="73"/>
      <c r="H73" s="101"/>
      <c r="I73" s="48"/>
    </row>
    <row r="74" spans="2:11" ht="15.6">
      <c r="B74" s="88"/>
      <c r="C74" s="89" t="s">
        <v>106</v>
      </c>
      <c r="D74" s="90" t="s">
        <v>56</v>
      </c>
      <c r="E74" s="105">
        <f>E70+E48+E72</f>
        <v>3.5391079558357106</v>
      </c>
      <c r="F74" s="91"/>
      <c r="G74" s="92"/>
      <c r="H74" s="102"/>
      <c r="I74" s="94"/>
    </row>
    <row r="75" spans="2:11">
      <c r="B75" s="401" t="s">
        <v>5</v>
      </c>
      <c r="C75" s="402"/>
      <c r="D75" s="402"/>
      <c r="E75" s="402"/>
      <c r="F75" s="402"/>
      <c r="G75" s="402"/>
      <c r="H75" s="402"/>
      <c r="I75" s="49"/>
      <c r="J75" s="50"/>
    </row>
    <row r="76" spans="2:11" ht="15.6">
      <c r="B76" s="45"/>
      <c r="C76" s="69" t="s">
        <v>197</v>
      </c>
      <c r="D76" s="70" t="s">
        <v>62</v>
      </c>
      <c r="E76" s="103">
        <v>0</v>
      </c>
      <c r="F76" s="85" t="s">
        <v>203</v>
      </c>
      <c r="G76" s="86" t="s">
        <v>10</v>
      </c>
      <c r="H76" s="47"/>
      <c r="I76" s="48"/>
      <c r="K76" s="34"/>
    </row>
    <row r="77" spans="2:11" ht="15.6">
      <c r="B77" s="45"/>
      <c r="C77" s="69" t="s">
        <v>198</v>
      </c>
      <c r="D77" s="70" t="s">
        <v>61</v>
      </c>
      <c r="E77" s="309">
        <f>(((7/140)*((3.11*365)/1000)/1000)*E53*E54*E55*E56)+(((3/140)*((28.67*365)/1000)*E65*E66*E67*E68))+((1/140)*(((4*820)/1000)/1000)*E59*E60*E61*E62)</f>
        <v>7.324016268731566E-2</v>
      </c>
      <c r="F77" s="310" t="s">
        <v>203</v>
      </c>
      <c r="G77" s="311" t="s">
        <v>253</v>
      </c>
      <c r="H77" s="312"/>
      <c r="I77" s="289"/>
      <c r="K77" s="34"/>
    </row>
    <row r="78" spans="2:11" ht="15.6">
      <c r="B78" s="88"/>
      <c r="C78" s="89" t="s">
        <v>107</v>
      </c>
      <c r="D78" s="90" t="s">
        <v>60</v>
      </c>
      <c r="E78" s="105">
        <f>SUM(E76:E77)</f>
        <v>7.324016268731566E-2</v>
      </c>
      <c r="F78" s="89" t="s">
        <v>93</v>
      </c>
      <c r="G78" s="89" t="s">
        <v>10</v>
      </c>
      <c r="H78" s="93"/>
      <c r="I78" s="94"/>
      <c r="K78" s="34"/>
    </row>
    <row r="79" spans="2:11">
      <c r="B79" s="401" t="s">
        <v>65</v>
      </c>
      <c r="C79" s="402"/>
      <c r="D79" s="402"/>
      <c r="E79" s="404"/>
      <c r="F79" s="402"/>
      <c r="G79" s="402"/>
      <c r="H79" s="402"/>
      <c r="I79" s="49"/>
      <c r="J79" s="50"/>
    </row>
    <row r="80" spans="2:11">
      <c r="B80" s="45"/>
      <c r="C80" s="106"/>
      <c r="D80" s="107" t="s">
        <v>59</v>
      </c>
      <c r="E80" s="104">
        <f>E13-E48-E76-E72</f>
        <v>2.3547070441642894</v>
      </c>
      <c r="F80" s="108"/>
      <c r="G80" s="108"/>
      <c r="I80" s="48"/>
      <c r="K80" s="34"/>
    </row>
    <row r="81" spans="2:11">
      <c r="B81" s="45"/>
      <c r="C81" s="106"/>
      <c r="D81" s="107" t="s">
        <v>58</v>
      </c>
      <c r="E81" s="104">
        <f>E35-E70-E77</f>
        <v>0.42283057731268453</v>
      </c>
      <c r="F81" s="108"/>
      <c r="G81" s="108"/>
      <c r="I81" s="48"/>
      <c r="K81" s="34"/>
    </row>
    <row r="82" spans="2:11" ht="13.8" thickBot="1">
      <c r="B82" s="45"/>
      <c r="C82" s="106"/>
      <c r="D82" s="165" t="s">
        <v>57</v>
      </c>
      <c r="E82" s="166">
        <f>E81+E80</f>
        <v>2.777537621476974</v>
      </c>
      <c r="F82" s="106"/>
      <c r="G82" s="106"/>
      <c r="I82" s="48"/>
      <c r="K82" s="34"/>
    </row>
    <row r="83" spans="2:11">
      <c r="B83" s="405" t="s">
        <v>63</v>
      </c>
      <c r="C83" s="406"/>
      <c r="D83" s="406"/>
      <c r="E83" s="407"/>
      <c r="F83" s="406"/>
      <c r="G83" s="406"/>
      <c r="H83" s="406"/>
      <c r="I83" s="167"/>
      <c r="J83" s="50"/>
    </row>
    <row r="84" spans="2:11" ht="15" customHeight="1">
      <c r="B84" s="109"/>
      <c r="C84" s="168" t="s">
        <v>151</v>
      </c>
      <c r="D84" s="63" t="s">
        <v>152</v>
      </c>
      <c r="E84" s="110">
        <f>E3</f>
        <v>6266</v>
      </c>
      <c r="F84" s="111"/>
      <c r="G84" s="112"/>
      <c r="H84" s="112"/>
      <c r="I84" s="113"/>
      <c r="J84" s="114"/>
    </row>
    <row r="85" spans="2:11" ht="15.6">
      <c r="B85" s="109"/>
      <c r="C85" s="168" t="s">
        <v>153</v>
      </c>
      <c r="D85" s="169" t="s">
        <v>154</v>
      </c>
      <c r="E85" s="334">
        <f>365-((1102*15)/E84)</f>
        <v>362.36195339929782</v>
      </c>
      <c r="F85" s="313"/>
      <c r="G85" s="280" t="s">
        <v>252</v>
      </c>
      <c r="H85" s="204"/>
      <c r="I85" s="113"/>
    </row>
    <row r="86" spans="2:11" ht="13.05" customHeight="1" thickBot="1">
      <c r="B86" s="170"/>
      <c r="C86" s="171" t="s">
        <v>108</v>
      </c>
      <c r="D86" s="171" t="s">
        <v>64</v>
      </c>
      <c r="E86" s="172">
        <f>'Cumulative VER'!N29*E84*(E85/365)</f>
        <v>5705.884846123241</v>
      </c>
      <c r="F86" s="173"/>
      <c r="G86" s="173"/>
      <c r="H86" s="173"/>
      <c r="I86" s="174"/>
      <c r="J86" s="114"/>
    </row>
    <row r="87" spans="2:11">
      <c r="E87" s="115"/>
      <c r="F87" s="73"/>
    </row>
    <row r="88" spans="2:11">
      <c r="D88" s="376" t="s">
        <v>205</v>
      </c>
      <c r="E88" s="377"/>
      <c r="F88" s="377"/>
      <c r="G88" s="116"/>
      <c r="H88" s="116"/>
      <c r="I88" s="116"/>
    </row>
    <row r="89" spans="2:11">
      <c r="D89" s="378"/>
      <c r="E89" s="377"/>
      <c r="F89" s="377"/>
      <c r="G89" s="243"/>
      <c r="H89" s="116"/>
      <c r="I89" s="116"/>
    </row>
    <row r="90" spans="2:11" s="34" customFormat="1" ht="26.4">
      <c r="D90" s="379"/>
      <c r="E90" s="380">
        <f>E80*E84</f>
        <v>14754.594338733437</v>
      </c>
      <c r="F90" s="381" t="s">
        <v>236</v>
      </c>
      <c r="G90" s="340"/>
      <c r="H90" s="63"/>
      <c r="I90" s="52"/>
      <c r="K90" s="37"/>
    </row>
    <row r="91" spans="2:11" s="34" customFormat="1">
      <c r="D91" s="382"/>
      <c r="E91" s="383">
        <f>E81*E84</f>
        <v>2649.4563974412813</v>
      </c>
      <c r="F91" s="381" t="s">
        <v>237</v>
      </c>
      <c r="G91" s="340"/>
      <c r="H91" s="63"/>
      <c r="I91" s="52"/>
      <c r="K91" s="37"/>
    </row>
    <row r="92" spans="2:11">
      <c r="D92" s="384"/>
      <c r="E92" s="385">
        <f>SUM(E90:E91)</f>
        <v>17404.050736174719</v>
      </c>
      <c r="F92" s="386" t="s">
        <v>206</v>
      </c>
      <c r="G92" s="345"/>
      <c r="H92" s="341"/>
    </row>
    <row r="93" spans="2:11">
      <c r="D93" s="384"/>
      <c r="E93" s="377"/>
      <c r="F93" s="377"/>
      <c r="G93" s="346">
        <f>G94/'Cumulative VER'!K36</f>
        <v>1.0783601946764154</v>
      </c>
      <c r="H93" s="368"/>
    </row>
    <row r="94" spans="2:11">
      <c r="D94" s="376" t="s">
        <v>207</v>
      </c>
      <c r="E94" s="377"/>
      <c r="F94" s="377"/>
      <c r="G94" s="396">
        <f>E99*'Cumulative VER'!N29</f>
        <v>15963.687775348488</v>
      </c>
      <c r="H94" s="369"/>
    </row>
    <row r="95" spans="2:11">
      <c r="D95" s="384"/>
      <c r="E95" s="387"/>
      <c r="F95" s="381"/>
      <c r="G95" s="394"/>
      <c r="H95" s="280"/>
    </row>
    <row r="96" spans="2:11">
      <c r="D96" s="384"/>
      <c r="E96" s="388">
        <f>E37*E84</f>
        <v>40039.024046840001</v>
      </c>
      <c r="F96" s="389" t="s">
        <v>238</v>
      </c>
      <c r="G96" s="370">
        <f>E96*'Cumulative VER'!N29/G93</f>
        <v>34056.696487481953</v>
      </c>
      <c r="H96" s="280" t="s">
        <v>239</v>
      </c>
    </row>
    <row r="97" spans="4:10">
      <c r="D97" s="384"/>
      <c r="E97" s="388">
        <f>E74*E84</f>
        <v>22176.050451266561</v>
      </c>
      <c r="F97" s="389" t="s">
        <v>240</v>
      </c>
      <c r="G97" s="370">
        <f>E97*'Cumulative VER'!N29/G93</f>
        <v>18862.673041839003</v>
      </c>
      <c r="H97" s="280" t="s">
        <v>239</v>
      </c>
    </row>
    <row r="98" spans="4:10">
      <c r="D98" s="384"/>
      <c r="E98" s="390">
        <f>E78*E84</f>
        <v>458.92285939871994</v>
      </c>
      <c r="F98" s="391" t="s">
        <v>208</v>
      </c>
      <c r="G98" s="370">
        <f>E98*'Cumulative VER'!N29/G93</f>
        <v>390.35408344182855</v>
      </c>
      <c r="H98" s="280" t="s">
        <v>239</v>
      </c>
    </row>
    <row r="99" spans="4:10">
      <c r="D99" s="384"/>
      <c r="E99" s="392">
        <f>E96-E97-E98</f>
        <v>17404.050736174719</v>
      </c>
      <c r="F99" s="393" t="s">
        <v>206</v>
      </c>
      <c r="G99" s="395">
        <f>G96-G97-G98</f>
        <v>14803.669362201121</v>
      </c>
      <c r="H99" s="34" t="s">
        <v>239</v>
      </c>
      <c r="J99" s="343"/>
    </row>
    <row r="100" spans="4:10">
      <c r="D100" s="384"/>
      <c r="E100" s="377"/>
      <c r="F100" s="377"/>
    </row>
    <row r="101" spans="4:10">
      <c r="E101" s="244"/>
    </row>
    <row r="102" spans="4:10">
      <c r="E102" s="244"/>
    </row>
    <row r="103" spans="4:10">
      <c r="E103" s="244"/>
      <c r="G103" s="374"/>
    </row>
    <row r="104" spans="4:10">
      <c r="E104" s="244"/>
      <c r="G104" s="371"/>
    </row>
    <row r="105" spans="4:10">
      <c r="G105" s="397"/>
    </row>
    <row r="113" spans="8:8">
      <c r="H113" s="398"/>
    </row>
    <row r="114" spans="8:8">
      <c r="H114" s="399"/>
    </row>
  </sheetData>
  <mergeCells count="5">
    <mergeCell ref="B4:H4"/>
    <mergeCell ref="B38:H38"/>
    <mergeCell ref="B75:H75"/>
    <mergeCell ref="B79:H79"/>
    <mergeCell ref="B83:H83"/>
  </mergeCells>
  <hyperlinks>
    <hyperlink ref="G30" r:id="rId1"/>
    <hyperlink ref="G19" r:id="rId2"/>
    <hyperlink ref="G25" r:id="rId3"/>
    <hyperlink ref="G65" r:id="rId4"/>
    <hyperlink ref="G54" r:id="rId5"/>
    <hyperlink ref="G60" r:id="rId6"/>
    <hyperlink ref="G12" r:id="rId7" display="IPCC default values"/>
    <hyperlink ref="G45" r:id="rId8" display="IPCC default values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O76"/>
  <sheetViews>
    <sheetView topLeftCell="A10" zoomScale="75" zoomScaleNormal="85" workbookViewId="0">
      <selection activeCell="D34" sqref="D34:F45"/>
    </sheetView>
  </sheetViews>
  <sheetFormatPr defaultColWidth="9.109375" defaultRowHeight="13.2"/>
  <cols>
    <col min="1" max="1" width="42.44140625" style="8" bestFit="1" customWidth="1"/>
    <col min="2" max="13" width="10.44140625" style="8" customWidth="1"/>
    <col min="14" max="14" width="10" style="8" customWidth="1"/>
    <col min="15" max="15" width="12.44140625" style="8" customWidth="1"/>
    <col min="16" max="145" width="10.44140625" style="8" customWidth="1"/>
    <col min="146" max="16384" width="9.109375" style="8"/>
  </cols>
  <sheetData>
    <row r="1" spans="1:145" s="195" customFormat="1">
      <c r="B1" s="195" t="s">
        <v>225</v>
      </c>
      <c r="C1" s="248"/>
      <c r="D1" s="195" t="s">
        <v>226</v>
      </c>
      <c r="E1" s="248"/>
      <c r="F1" s="195" t="s">
        <v>227</v>
      </c>
      <c r="G1" s="248"/>
      <c r="H1" s="195" t="s">
        <v>234</v>
      </c>
      <c r="I1" s="248"/>
      <c r="J1" s="195" t="s">
        <v>242</v>
      </c>
      <c r="K1" s="248"/>
      <c r="L1" s="248"/>
      <c r="M1" s="248"/>
      <c r="N1" s="248"/>
      <c r="O1" s="270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</row>
    <row r="2" spans="1:145" ht="13.8" thickBot="1">
      <c r="B2" s="8" t="s">
        <v>209</v>
      </c>
      <c r="D2" s="8" t="s">
        <v>219</v>
      </c>
      <c r="F2" s="8" t="s">
        <v>224</v>
      </c>
      <c r="H2" s="8" t="s">
        <v>233</v>
      </c>
      <c r="J2" s="8" t="s">
        <v>243</v>
      </c>
    </row>
    <row r="3" spans="1:145" ht="13.8" thickBot="1">
      <c r="A3" s="15" t="s">
        <v>36</v>
      </c>
      <c r="B3" s="271">
        <v>2.4483164538685189</v>
      </c>
      <c r="D3" s="271">
        <v>2.4872073890128386</v>
      </c>
      <c r="F3" s="271">
        <v>1.860268241291807</v>
      </c>
      <c r="H3" s="373">
        <v>2635</v>
      </c>
      <c r="J3" s="120">
        <f>'GS VER 2021'!E82</f>
        <v>2.777537621476974</v>
      </c>
      <c r="AC3" s="15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 spans="1:145" ht="13.8" thickBot="1">
      <c r="B4" s="284"/>
      <c r="AA4" s="320"/>
      <c r="AB4" s="320"/>
      <c r="AC4" s="320"/>
      <c r="AD4" s="320"/>
      <c r="AE4" s="320"/>
      <c r="AF4" s="321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1" t="s">
        <v>234</v>
      </c>
      <c r="AS4" s="320"/>
      <c r="AT4" s="320"/>
      <c r="AU4" s="320"/>
      <c r="AV4" s="320"/>
      <c r="AW4" s="320"/>
      <c r="AX4" s="320"/>
      <c r="AY4" s="214"/>
      <c r="AZ4" s="214"/>
      <c r="BA4" s="214"/>
      <c r="BB4" s="214"/>
      <c r="BC4" s="214"/>
      <c r="BD4" s="358" t="s">
        <v>242</v>
      </c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CU4" s="264"/>
      <c r="CV4" s="264"/>
      <c r="CW4" s="264"/>
      <c r="CX4" s="264"/>
      <c r="CY4" s="264"/>
      <c r="CZ4" s="1"/>
      <c r="DA4" s="1"/>
      <c r="DB4" s="1"/>
      <c r="DC4" s="1"/>
      <c r="DD4" s="1"/>
      <c r="DE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</row>
    <row r="5" spans="1:145" ht="13.8" thickBot="1">
      <c r="A5" s="8" t="s">
        <v>109</v>
      </c>
      <c r="B5" s="262"/>
      <c r="C5" s="266">
        <f>N23</f>
        <v>0.8387</v>
      </c>
      <c r="D5" s="203">
        <f>C5</f>
        <v>0.8387</v>
      </c>
      <c r="E5" s="203">
        <f t="shared" ref="E5:M5" si="0">D5</f>
        <v>0.8387</v>
      </c>
      <c r="F5" s="203">
        <f t="shared" si="0"/>
        <v>0.8387</v>
      </c>
      <c r="G5" s="203">
        <f t="shared" si="0"/>
        <v>0.8387</v>
      </c>
      <c r="H5" s="203">
        <f t="shared" si="0"/>
        <v>0.8387</v>
      </c>
      <c r="I5" s="203">
        <f>N24</f>
        <v>0.9032</v>
      </c>
      <c r="J5" s="203">
        <f t="shared" si="0"/>
        <v>0.9032</v>
      </c>
      <c r="K5" s="203">
        <f t="shared" si="0"/>
        <v>0.9032</v>
      </c>
      <c r="L5" s="203">
        <f t="shared" si="0"/>
        <v>0.9032</v>
      </c>
      <c r="M5" s="203">
        <f t="shared" si="0"/>
        <v>0.9032</v>
      </c>
      <c r="N5" s="267">
        <f>M5</f>
        <v>0.9032</v>
      </c>
      <c r="O5" s="266">
        <f>N24</f>
        <v>0.9032</v>
      </c>
      <c r="P5" s="203">
        <f>O5</f>
        <v>0.9032</v>
      </c>
      <c r="Q5" s="203">
        <f t="shared" ref="Q5:AL5" si="1">P5</f>
        <v>0.9032</v>
      </c>
      <c r="R5" s="203">
        <f>Q5</f>
        <v>0.9032</v>
      </c>
      <c r="S5" s="203">
        <f t="shared" si="1"/>
        <v>0.9032</v>
      </c>
      <c r="T5" s="203">
        <f t="shared" si="1"/>
        <v>0.9032</v>
      </c>
      <c r="U5" s="203">
        <f>N25</f>
        <v>0.8387</v>
      </c>
      <c r="V5" s="203">
        <f t="shared" si="1"/>
        <v>0.8387</v>
      </c>
      <c r="W5" s="203">
        <f t="shared" si="1"/>
        <v>0.8387</v>
      </c>
      <c r="X5" s="203">
        <f t="shared" si="1"/>
        <v>0.8387</v>
      </c>
      <c r="Y5" s="203">
        <f t="shared" si="1"/>
        <v>0.8387</v>
      </c>
      <c r="Z5" s="203">
        <f t="shared" si="1"/>
        <v>0.8387</v>
      </c>
      <c r="AA5" s="266">
        <f>N25</f>
        <v>0.8387</v>
      </c>
      <c r="AB5" s="203">
        <f t="shared" si="1"/>
        <v>0.8387</v>
      </c>
      <c r="AC5" s="203">
        <f t="shared" si="1"/>
        <v>0.8387</v>
      </c>
      <c r="AD5" s="203">
        <f t="shared" si="1"/>
        <v>0.8387</v>
      </c>
      <c r="AE5" s="203">
        <f>AD5</f>
        <v>0.8387</v>
      </c>
      <c r="AF5" s="203">
        <f t="shared" si="1"/>
        <v>0.8387</v>
      </c>
      <c r="AG5" s="203">
        <f>+N26</f>
        <v>0.9677</v>
      </c>
      <c r="AH5" s="203">
        <f>AG5</f>
        <v>0.9677</v>
      </c>
      <c r="AI5" s="203">
        <f t="shared" si="1"/>
        <v>0.9677</v>
      </c>
      <c r="AJ5" s="203">
        <f t="shared" si="1"/>
        <v>0.9677</v>
      </c>
      <c r="AK5" s="203">
        <f t="shared" si="1"/>
        <v>0.9677</v>
      </c>
      <c r="AL5" s="267">
        <f t="shared" si="1"/>
        <v>0.9677</v>
      </c>
      <c r="AM5" s="348">
        <f>+AL5</f>
        <v>0.9677</v>
      </c>
      <c r="AN5" s="349">
        <f t="shared" ref="AN5:AX5" si="2">AM5</f>
        <v>0.9677</v>
      </c>
      <c r="AO5" s="349">
        <f t="shared" si="2"/>
        <v>0.9677</v>
      </c>
      <c r="AP5" s="349">
        <f t="shared" si="2"/>
        <v>0.9677</v>
      </c>
      <c r="AQ5" s="349">
        <f t="shared" si="2"/>
        <v>0.9677</v>
      </c>
      <c r="AR5" s="349">
        <f t="shared" si="2"/>
        <v>0.9677</v>
      </c>
      <c r="AS5" s="349">
        <f t="shared" si="2"/>
        <v>0.9677</v>
      </c>
      <c r="AT5" s="349">
        <f>AS5</f>
        <v>0.9677</v>
      </c>
      <c r="AU5" s="349">
        <f t="shared" si="2"/>
        <v>0.9677</v>
      </c>
      <c r="AV5" s="349">
        <f t="shared" si="2"/>
        <v>0.9677</v>
      </c>
      <c r="AW5" s="349">
        <f t="shared" si="2"/>
        <v>0.9677</v>
      </c>
      <c r="AX5" s="350">
        <f t="shared" si="2"/>
        <v>0.9677</v>
      </c>
      <c r="AY5" s="359">
        <f>N27</f>
        <v>1</v>
      </c>
      <c r="AZ5" s="359">
        <f>AY5</f>
        <v>1</v>
      </c>
      <c r="BA5" s="359">
        <f t="shared" ref="BA5:BJ5" si="3">AZ5</f>
        <v>1</v>
      </c>
      <c r="BB5" s="359">
        <f t="shared" si="3"/>
        <v>1</v>
      </c>
      <c r="BC5" s="359">
        <f t="shared" si="3"/>
        <v>1</v>
      </c>
      <c r="BD5" s="359">
        <f t="shared" si="3"/>
        <v>1</v>
      </c>
      <c r="BE5" s="359">
        <f t="shared" si="3"/>
        <v>1</v>
      </c>
      <c r="BF5" s="359">
        <f t="shared" si="3"/>
        <v>1</v>
      </c>
      <c r="BG5" s="359">
        <f t="shared" si="3"/>
        <v>1</v>
      </c>
      <c r="BH5" s="359">
        <f t="shared" si="3"/>
        <v>1</v>
      </c>
      <c r="BI5" s="359">
        <f t="shared" si="3"/>
        <v>1</v>
      </c>
      <c r="BJ5" s="359">
        <f t="shared" si="3"/>
        <v>1</v>
      </c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  <c r="BW5" s="203"/>
      <c r="BX5" s="203"/>
      <c r="BY5" s="203"/>
      <c r="BZ5" s="203"/>
      <c r="CA5" s="203"/>
      <c r="CB5" s="203"/>
      <c r="CC5" s="203"/>
      <c r="CD5" s="203"/>
      <c r="CE5" s="203"/>
      <c r="CF5" s="203"/>
      <c r="CG5" s="203"/>
      <c r="CH5" s="203"/>
      <c r="CI5" s="203"/>
      <c r="CJ5" s="203"/>
      <c r="CK5" s="203"/>
      <c r="CL5" s="203"/>
      <c r="CM5" s="203"/>
      <c r="CN5" s="203"/>
      <c r="CO5" s="203"/>
      <c r="CP5" s="203"/>
      <c r="CQ5" s="203"/>
      <c r="CR5" s="203"/>
      <c r="CS5" s="203"/>
      <c r="CT5" s="203"/>
      <c r="CU5" s="196"/>
      <c r="CV5" s="196"/>
      <c r="CW5" s="196"/>
      <c r="CX5" s="196"/>
      <c r="CY5" s="196"/>
      <c r="CZ5" s="1"/>
      <c r="DA5" s="1"/>
      <c r="DB5" s="1"/>
      <c r="DC5" s="1"/>
      <c r="DD5" s="1"/>
      <c r="DE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customFormat="1" ht="13.8" thickBot="1">
      <c r="A6" s="17" t="s">
        <v>27</v>
      </c>
      <c r="B6" s="215"/>
      <c r="C6" s="274">
        <v>42736</v>
      </c>
      <c r="D6" s="215">
        <v>42767</v>
      </c>
      <c r="E6" s="215">
        <v>42795</v>
      </c>
      <c r="F6" s="215">
        <v>42826</v>
      </c>
      <c r="G6" s="215">
        <v>42856</v>
      </c>
      <c r="H6" s="215">
        <v>42887</v>
      </c>
      <c r="I6" s="215">
        <v>42917</v>
      </c>
      <c r="J6" s="215">
        <v>42948</v>
      </c>
      <c r="K6" s="215">
        <v>42979</v>
      </c>
      <c r="L6" s="215">
        <v>43009</v>
      </c>
      <c r="M6" s="215">
        <v>43040</v>
      </c>
      <c r="N6" s="275">
        <v>43070</v>
      </c>
      <c r="O6" s="274">
        <v>43101</v>
      </c>
      <c r="P6" s="215">
        <v>43132</v>
      </c>
      <c r="Q6" s="215">
        <v>43160</v>
      </c>
      <c r="R6" s="215">
        <v>43191</v>
      </c>
      <c r="S6" s="215">
        <v>43221</v>
      </c>
      <c r="T6" s="215">
        <v>43252</v>
      </c>
      <c r="U6" s="215">
        <v>43282</v>
      </c>
      <c r="V6" s="215">
        <v>43313</v>
      </c>
      <c r="W6" s="215">
        <v>43344</v>
      </c>
      <c r="X6" s="215">
        <v>43374</v>
      </c>
      <c r="Y6" s="215">
        <v>43405</v>
      </c>
      <c r="Z6" s="215">
        <v>43435</v>
      </c>
      <c r="AA6" s="327">
        <v>43466</v>
      </c>
      <c r="AB6" s="328">
        <v>43497</v>
      </c>
      <c r="AC6" s="328">
        <v>43525</v>
      </c>
      <c r="AD6" s="328">
        <v>43556</v>
      </c>
      <c r="AE6" s="328">
        <v>43586</v>
      </c>
      <c r="AF6" s="328">
        <v>43617</v>
      </c>
      <c r="AG6" s="328">
        <v>43647</v>
      </c>
      <c r="AH6" s="328">
        <v>43678</v>
      </c>
      <c r="AI6" s="328">
        <v>43709</v>
      </c>
      <c r="AJ6" s="328">
        <v>43739</v>
      </c>
      <c r="AK6" s="328">
        <v>43770</v>
      </c>
      <c r="AL6" s="329">
        <v>43800</v>
      </c>
      <c r="AM6" s="351">
        <v>43831</v>
      </c>
      <c r="AN6" s="352">
        <v>43862</v>
      </c>
      <c r="AO6" s="352">
        <v>43891</v>
      </c>
      <c r="AP6" s="352">
        <v>43922</v>
      </c>
      <c r="AQ6" s="352">
        <v>43952</v>
      </c>
      <c r="AR6" s="352">
        <v>43983</v>
      </c>
      <c r="AS6" s="352">
        <v>44013</v>
      </c>
      <c r="AT6" s="352">
        <v>44044</v>
      </c>
      <c r="AU6" s="352">
        <v>44075</v>
      </c>
      <c r="AV6" s="352">
        <v>44105</v>
      </c>
      <c r="AW6" s="352">
        <v>44136</v>
      </c>
      <c r="AX6" s="353">
        <v>44166</v>
      </c>
      <c r="AY6" s="360">
        <v>44197</v>
      </c>
      <c r="AZ6" s="360">
        <v>44228</v>
      </c>
      <c r="BA6" s="360">
        <v>44256</v>
      </c>
      <c r="BB6" s="360">
        <v>44287</v>
      </c>
      <c r="BC6" s="360">
        <v>44317</v>
      </c>
      <c r="BD6" s="360">
        <v>44348</v>
      </c>
      <c r="BE6" s="360">
        <v>44378</v>
      </c>
      <c r="BF6" s="360">
        <v>44409</v>
      </c>
      <c r="BG6" s="360">
        <v>44440</v>
      </c>
      <c r="BH6" s="360">
        <v>44470</v>
      </c>
      <c r="BI6" s="360">
        <v>44501</v>
      </c>
      <c r="BJ6" s="360">
        <v>44531</v>
      </c>
      <c r="BK6" s="232">
        <v>44562</v>
      </c>
      <c r="BL6" s="232">
        <v>44593</v>
      </c>
      <c r="BM6" s="232">
        <v>44621</v>
      </c>
      <c r="BN6" s="232">
        <v>44652</v>
      </c>
      <c r="BO6" s="232">
        <v>44682</v>
      </c>
      <c r="BP6" s="232">
        <v>44713</v>
      </c>
      <c r="BQ6" s="232">
        <v>44743</v>
      </c>
      <c r="BR6" s="232">
        <v>44774</v>
      </c>
      <c r="BS6" s="232">
        <v>44805</v>
      </c>
      <c r="BT6" s="232">
        <v>44835</v>
      </c>
      <c r="BU6" s="232">
        <v>44866</v>
      </c>
      <c r="BV6" s="232">
        <v>44896</v>
      </c>
      <c r="BW6" s="232">
        <v>44927</v>
      </c>
      <c r="BX6" s="232">
        <v>44958</v>
      </c>
      <c r="BY6" s="232">
        <v>44986</v>
      </c>
      <c r="BZ6" s="232">
        <v>45017</v>
      </c>
      <c r="CA6" s="232">
        <v>45047</v>
      </c>
      <c r="CB6" s="232">
        <v>45078</v>
      </c>
      <c r="CC6" s="232">
        <v>45108</v>
      </c>
      <c r="CD6" s="232">
        <v>45139</v>
      </c>
      <c r="CE6" s="232">
        <v>45170</v>
      </c>
      <c r="CF6" s="232">
        <v>45200</v>
      </c>
      <c r="CG6" s="232">
        <v>45231</v>
      </c>
      <c r="CH6" s="232">
        <v>45261</v>
      </c>
      <c r="CI6" s="232">
        <v>45292</v>
      </c>
      <c r="CJ6" s="232">
        <v>45323</v>
      </c>
      <c r="CK6" s="232">
        <v>45352</v>
      </c>
      <c r="CL6" s="232">
        <v>45383</v>
      </c>
      <c r="CM6" s="232">
        <v>45413</v>
      </c>
      <c r="CN6" s="232">
        <v>45444</v>
      </c>
      <c r="CO6" s="232">
        <v>45474</v>
      </c>
      <c r="CP6" s="232">
        <v>45505</v>
      </c>
      <c r="CQ6" s="232">
        <v>45536</v>
      </c>
      <c r="CR6" s="232">
        <v>45566</v>
      </c>
      <c r="CS6" s="232">
        <v>45597</v>
      </c>
      <c r="CT6" s="232">
        <v>45627</v>
      </c>
      <c r="CU6" s="215"/>
      <c r="CV6" s="215"/>
      <c r="CW6" s="215"/>
      <c r="CX6" s="215"/>
      <c r="CY6" s="215"/>
      <c r="CZ6" s="1"/>
      <c r="DA6" s="1"/>
      <c r="DB6" s="1"/>
      <c r="DC6" s="1"/>
      <c r="DD6" s="1"/>
      <c r="DE6" s="1"/>
      <c r="DF6" s="8"/>
      <c r="DG6" s="8"/>
      <c r="DH6" s="8"/>
      <c r="DI6" s="8"/>
      <c r="DJ6" s="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</row>
    <row r="7" spans="1:145" customFormat="1">
      <c r="A7" s="17" t="s">
        <v>159</v>
      </c>
      <c r="B7" s="223"/>
      <c r="C7" s="272">
        <v>262</v>
      </c>
      <c r="D7" s="210">
        <v>92</v>
      </c>
      <c r="E7" s="210">
        <v>111</v>
      </c>
      <c r="F7" s="210">
        <v>69</v>
      </c>
      <c r="G7" s="210">
        <v>112</v>
      </c>
      <c r="H7" s="210">
        <v>154</v>
      </c>
      <c r="I7" s="210">
        <v>131</v>
      </c>
      <c r="J7" s="210">
        <v>104</v>
      </c>
      <c r="K7" s="210">
        <v>85</v>
      </c>
      <c r="L7" s="210">
        <v>273</v>
      </c>
      <c r="M7" s="210">
        <v>356</v>
      </c>
      <c r="N7" s="210">
        <v>291</v>
      </c>
      <c r="O7" s="272">
        <v>168</v>
      </c>
      <c r="P7" s="210">
        <v>57</v>
      </c>
      <c r="Q7" s="210">
        <v>98</v>
      </c>
      <c r="R7" s="210">
        <v>81</v>
      </c>
      <c r="S7" s="210">
        <v>91</v>
      </c>
      <c r="T7" s="210">
        <v>95</v>
      </c>
      <c r="U7" s="210">
        <v>156</v>
      </c>
      <c r="V7" s="210">
        <v>185</v>
      </c>
      <c r="W7" s="210">
        <v>188</v>
      </c>
      <c r="X7" s="210">
        <v>165</v>
      </c>
      <c r="Y7" s="210">
        <v>117</v>
      </c>
      <c r="Z7" s="210">
        <v>53</v>
      </c>
      <c r="AA7" s="322">
        <v>116</v>
      </c>
      <c r="AB7" s="323">
        <v>28</v>
      </c>
      <c r="AC7" s="323">
        <v>43</v>
      </c>
      <c r="AD7" s="323">
        <v>19</v>
      </c>
      <c r="AE7" s="323">
        <v>87</v>
      </c>
      <c r="AF7" s="323">
        <v>40</v>
      </c>
      <c r="AG7" s="323">
        <v>49</v>
      </c>
      <c r="AH7" s="323">
        <v>41</v>
      </c>
      <c r="AI7" s="323">
        <v>30</v>
      </c>
      <c r="AJ7" s="323">
        <v>104</v>
      </c>
      <c r="AK7" s="323">
        <v>153</v>
      </c>
      <c r="AL7" s="324">
        <v>66</v>
      </c>
      <c r="AM7" s="257">
        <v>58</v>
      </c>
      <c r="AN7" s="258">
        <v>16</v>
      </c>
      <c r="AO7" s="258">
        <v>9</v>
      </c>
      <c r="AP7" s="258">
        <v>38</v>
      </c>
      <c r="AQ7" s="258">
        <v>14</v>
      </c>
      <c r="AR7" s="258">
        <v>20</v>
      </c>
      <c r="AS7" s="258">
        <v>18</v>
      </c>
      <c r="AT7" s="258">
        <v>35</v>
      </c>
      <c r="AU7" s="258">
        <v>39</v>
      </c>
      <c r="AV7" s="258">
        <v>40</v>
      </c>
      <c r="AW7" s="258">
        <v>38</v>
      </c>
      <c r="AX7" s="325">
        <v>89</v>
      </c>
      <c r="AY7" s="361">
        <v>46</v>
      </c>
      <c r="AZ7" s="361">
        <v>61</v>
      </c>
      <c r="BA7" s="361">
        <v>55</v>
      </c>
      <c r="BB7" s="361">
        <v>70</v>
      </c>
      <c r="BC7" s="361">
        <v>87</v>
      </c>
      <c r="BD7" s="361">
        <v>130</v>
      </c>
      <c r="BE7" s="361">
        <v>186</v>
      </c>
      <c r="BF7" s="361">
        <v>234</v>
      </c>
      <c r="BG7" s="361">
        <v>153</v>
      </c>
      <c r="BH7" s="361">
        <v>265</v>
      </c>
      <c r="BI7" s="361">
        <v>218</v>
      </c>
      <c r="BJ7" s="361">
        <v>77</v>
      </c>
      <c r="BK7" s="241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42"/>
      <c r="BX7" s="240"/>
      <c r="BY7" s="240"/>
      <c r="BZ7" s="240"/>
      <c r="CA7" s="240"/>
      <c r="CB7" s="240"/>
      <c r="CC7" s="240"/>
      <c r="CD7" s="240"/>
      <c r="CE7" s="240"/>
      <c r="CF7" s="224"/>
      <c r="CG7" s="240"/>
      <c r="CH7" s="224"/>
      <c r="CI7" s="254"/>
      <c r="CJ7" s="255"/>
      <c r="CK7" s="255"/>
      <c r="CL7" s="255"/>
      <c r="CM7" s="255"/>
      <c r="CN7" s="255"/>
      <c r="CO7" s="255"/>
      <c r="CP7" s="255"/>
      <c r="CQ7" s="255"/>
      <c r="CR7" s="255"/>
      <c r="CS7" s="255"/>
      <c r="CT7" s="255"/>
      <c r="CU7" s="196"/>
      <c r="CV7" s="196"/>
      <c r="CW7" s="196"/>
      <c r="CX7" s="196"/>
      <c r="CY7" s="196"/>
      <c r="CZ7" s="1"/>
      <c r="DA7" s="1"/>
      <c r="DB7" s="1"/>
      <c r="DC7" s="1"/>
      <c r="DD7" s="1"/>
      <c r="DE7" s="1"/>
      <c r="DF7" s="8"/>
      <c r="DG7" s="8"/>
      <c r="DH7" s="8"/>
      <c r="DI7" s="8"/>
      <c r="DJ7" s="8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</row>
    <row r="8" spans="1:145" customFormat="1">
      <c r="A8" s="17" t="s">
        <v>160</v>
      </c>
      <c r="B8" s="197"/>
      <c r="C8" s="225">
        <f>C7</f>
        <v>262</v>
      </c>
      <c r="D8" s="197">
        <f t="shared" ref="D8:N8" si="4">C8+D7</f>
        <v>354</v>
      </c>
      <c r="E8" s="197">
        <f t="shared" si="4"/>
        <v>465</v>
      </c>
      <c r="F8" s="197">
        <f t="shared" si="4"/>
        <v>534</v>
      </c>
      <c r="G8" s="197">
        <f t="shared" si="4"/>
        <v>646</v>
      </c>
      <c r="H8" s="197">
        <f t="shared" si="4"/>
        <v>800</v>
      </c>
      <c r="I8" s="197">
        <f t="shared" si="4"/>
        <v>931</v>
      </c>
      <c r="J8" s="197">
        <f t="shared" si="4"/>
        <v>1035</v>
      </c>
      <c r="K8" s="197">
        <f t="shared" si="4"/>
        <v>1120</v>
      </c>
      <c r="L8" s="197">
        <f t="shared" si="4"/>
        <v>1393</v>
      </c>
      <c r="M8" s="197">
        <f t="shared" si="4"/>
        <v>1749</v>
      </c>
      <c r="N8" s="197">
        <f t="shared" si="4"/>
        <v>2040</v>
      </c>
      <c r="O8" s="225">
        <f t="shared" ref="O8:Z8" si="5">N8+O7</f>
        <v>2208</v>
      </c>
      <c r="P8" s="197">
        <f t="shared" si="5"/>
        <v>2265</v>
      </c>
      <c r="Q8" s="197">
        <f t="shared" si="5"/>
        <v>2363</v>
      </c>
      <c r="R8" s="197">
        <f t="shared" si="5"/>
        <v>2444</v>
      </c>
      <c r="S8" s="197">
        <f t="shared" si="5"/>
        <v>2535</v>
      </c>
      <c r="T8" s="197">
        <f t="shared" si="5"/>
        <v>2630</v>
      </c>
      <c r="U8" s="197">
        <f t="shared" si="5"/>
        <v>2786</v>
      </c>
      <c r="V8" s="197">
        <f t="shared" si="5"/>
        <v>2971</v>
      </c>
      <c r="W8" s="197">
        <f t="shared" si="5"/>
        <v>3159</v>
      </c>
      <c r="X8" s="197">
        <f t="shared" si="5"/>
        <v>3324</v>
      </c>
      <c r="Y8" s="197">
        <f t="shared" si="5"/>
        <v>3441</v>
      </c>
      <c r="Z8" s="197">
        <f t="shared" si="5"/>
        <v>3494</v>
      </c>
      <c r="AA8" s="225">
        <f t="shared" ref="AA8:AL8" si="6">Z8+AA7</f>
        <v>3610</v>
      </c>
      <c r="AB8" s="197">
        <f t="shared" si="6"/>
        <v>3638</v>
      </c>
      <c r="AC8" s="197">
        <f t="shared" si="6"/>
        <v>3681</v>
      </c>
      <c r="AD8" s="197">
        <f t="shared" si="6"/>
        <v>3700</v>
      </c>
      <c r="AE8" s="197">
        <f t="shared" si="6"/>
        <v>3787</v>
      </c>
      <c r="AF8" s="197">
        <f t="shared" si="6"/>
        <v>3827</v>
      </c>
      <c r="AG8" s="197">
        <f t="shared" si="6"/>
        <v>3876</v>
      </c>
      <c r="AH8" s="197">
        <f t="shared" si="6"/>
        <v>3917</v>
      </c>
      <c r="AI8" s="197">
        <f t="shared" si="6"/>
        <v>3947</v>
      </c>
      <c r="AJ8" s="197">
        <f t="shared" si="6"/>
        <v>4051</v>
      </c>
      <c r="AK8" s="197">
        <f t="shared" si="6"/>
        <v>4204</v>
      </c>
      <c r="AL8" s="226">
        <f t="shared" si="6"/>
        <v>4270</v>
      </c>
      <c r="AM8" s="257">
        <f>AL8+AM7</f>
        <v>4328</v>
      </c>
      <c r="AN8" s="258">
        <f t="shared" ref="AN8:AX8" si="7">AM8+AN7</f>
        <v>4344</v>
      </c>
      <c r="AO8" s="258">
        <f t="shared" si="7"/>
        <v>4353</v>
      </c>
      <c r="AP8" s="258">
        <f t="shared" si="7"/>
        <v>4391</v>
      </c>
      <c r="AQ8" s="258">
        <f t="shared" si="7"/>
        <v>4405</v>
      </c>
      <c r="AR8" s="258">
        <f t="shared" si="7"/>
        <v>4425</v>
      </c>
      <c r="AS8" s="258">
        <f t="shared" si="7"/>
        <v>4443</v>
      </c>
      <c r="AT8" s="258">
        <f t="shared" si="7"/>
        <v>4478</v>
      </c>
      <c r="AU8" s="258">
        <f t="shared" si="7"/>
        <v>4517</v>
      </c>
      <c r="AV8" s="258">
        <f t="shared" si="7"/>
        <v>4557</v>
      </c>
      <c r="AW8" s="258">
        <f t="shared" si="7"/>
        <v>4595</v>
      </c>
      <c r="AX8" s="325">
        <f t="shared" si="7"/>
        <v>4684</v>
      </c>
      <c r="AY8" s="362">
        <f>AX8+AY7</f>
        <v>4730</v>
      </c>
      <c r="AZ8" s="362">
        <f>AY8+AZ7</f>
        <v>4791</v>
      </c>
      <c r="BA8" s="362">
        <f t="shared" ref="BA8:BJ8" si="8">BA7+AZ8</f>
        <v>4846</v>
      </c>
      <c r="BB8" s="362">
        <f t="shared" si="8"/>
        <v>4916</v>
      </c>
      <c r="BC8" s="362">
        <f t="shared" si="8"/>
        <v>5003</v>
      </c>
      <c r="BD8" s="362">
        <f t="shared" si="8"/>
        <v>5133</v>
      </c>
      <c r="BE8" s="362">
        <f t="shared" si="8"/>
        <v>5319</v>
      </c>
      <c r="BF8" s="362">
        <f t="shared" si="8"/>
        <v>5553</v>
      </c>
      <c r="BG8" s="362">
        <f t="shared" si="8"/>
        <v>5706</v>
      </c>
      <c r="BH8" s="362">
        <f t="shared" si="8"/>
        <v>5971</v>
      </c>
      <c r="BI8" s="362">
        <f t="shared" si="8"/>
        <v>6189</v>
      </c>
      <c r="BJ8" s="362">
        <f t="shared" si="8"/>
        <v>6266</v>
      </c>
      <c r="BK8" s="225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225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256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96"/>
      <c r="CV8" s="196"/>
      <c r="CW8" s="196"/>
      <c r="CX8" s="196"/>
      <c r="CY8" s="196"/>
      <c r="CZ8" s="1"/>
      <c r="DA8" s="1"/>
      <c r="DB8" s="1"/>
      <c r="DC8" s="1"/>
      <c r="DD8" s="1"/>
      <c r="DE8" s="1"/>
      <c r="DF8" s="8"/>
      <c r="DG8" s="8"/>
      <c r="DH8" s="8"/>
      <c r="DI8" s="8"/>
      <c r="DJ8" s="8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</row>
    <row r="9" spans="1:145" s="14" customFormat="1">
      <c r="A9" s="8" t="s">
        <v>232</v>
      </c>
      <c r="B9" s="197"/>
      <c r="C9" s="225">
        <f>C7</f>
        <v>262</v>
      </c>
      <c r="D9" s="197">
        <f t="shared" ref="D9:N9" si="9">C7*D5+C9</f>
        <v>481.73939999999999</v>
      </c>
      <c r="E9" s="197">
        <f t="shared" si="9"/>
        <v>558.89980000000003</v>
      </c>
      <c r="F9" s="197">
        <f t="shared" si="9"/>
        <v>651.99549999999999</v>
      </c>
      <c r="G9" s="197">
        <f t="shared" si="9"/>
        <v>709.86580000000004</v>
      </c>
      <c r="H9" s="197">
        <f t="shared" si="9"/>
        <v>803.80020000000002</v>
      </c>
      <c r="I9" s="197">
        <f t="shared" si="9"/>
        <v>942.89300000000003</v>
      </c>
      <c r="J9" s="197">
        <f t="shared" si="9"/>
        <v>1061.2121999999999</v>
      </c>
      <c r="K9" s="197">
        <f t="shared" si="9"/>
        <v>1155.145</v>
      </c>
      <c r="L9" s="197">
        <f t="shared" si="9"/>
        <v>1231.9169999999999</v>
      </c>
      <c r="M9" s="197">
        <f t="shared" si="9"/>
        <v>1478.4905999999999</v>
      </c>
      <c r="N9" s="197">
        <f t="shared" si="9"/>
        <v>1800.0297999999998</v>
      </c>
      <c r="O9" s="225">
        <f t="shared" ref="O9:Z9" si="10">N7*O5+N9</f>
        <v>2062.8609999999999</v>
      </c>
      <c r="P9" s="197">
        <f t="shared" si="10"/>
        <v>2214.5985999999998</v>
      </c>
      <c r="Q9" s="197">
        <f t="shared" si="10"/>
        <v>2266.0809999999997</v>
      </c>
      <c r="R9" s="197">
        <f t="shared" si="10"/>
        <v>2354.5945999999994</v>
      </c>
      <c r="S9" s="197">
        <f t="shared" si="10"/>
        <v>2427.7537999999995</v>
      </c>
      <c r="T9" s="197">
        <f t="shared" si="10"/>
        <v>2509.9449999999997</v>
      </c>
      <c r="U9" s="197">
        <f t="shared" si="10"/>
        <v>2589.6214999999997</v>
      </c>
      <c r="V9" s="197">
        <f t="shared" si="10"/>
        <v>2720.4586999999997</v>
      </c>
      <c r="W9" s="197">
        <f t="shared" si="10"/>
        <v>2875.6181999999999</v>
      </c>
      <c r="X9" s="197">
        <f t="shared" si="10"/>
        <v>3033.2937999999999</v>
      </c>
      <c r="Y9" s="197">
        <f t="shared" si="10"/>
        <v>3171.6792999999998</v>
      </c>
      <c r="Z9" s="197">
        <f t="shared" si="10"/>
        <v>3269.8071999999997</v>
      </c>
      <c r="AA9" s="225">
        <f t="shared" ref="AA9:AL9" si="11">Z7*AA5+Z9</f>
        <v>3314.2582999999995</v>
      </c>
      <c r="AB9" s="197">
        <f t="shared" si="11"/>
        <v>3411.5474999999997</v>
      </c>
      <c r="AC9" s="197">
        <f t="shared" si="11"/>
        <v>3435.0310999999997</v>
      </c>
      <c r="AD9" s="197">
        <f t="shared" si="11"/>
        <v>3471.0951999999997</v>
      </c>
      <c r="AE9" s="197">
        <f t="shared" si="11"/>
        <v>3487.0304999999998</v>
      </c>
      <c r="AF9" s="197">
        <f t="shared" si="11"/>
        <v>3559.9973999999997</v>
      </c>
      <c r="AG9" s="197">
        <f t="shared" si="11"/>
        <v>3598.7053999999998</v>
      </c>
      <c r="AH9" s="197">
        <f t="shared" si="11"/>
        <v>3646.1226999999999</v>
      </c>
      <c r="AI9" s="197">
        <f t="shared" si="11"/>
        <v>3685.7983999999997</v>
      </c>
      <c r="AJ9" s="197">
        <f t="shared" si="11"/>
        <v>3714.8293999999996</v>
      </c>
      <c r="AK9" s="197">
        <f t="shared" si="11"/>
        <v>3815.4701999999997</v>
      </c>
      <c r="AL9" s="226">
        <f t="shared" si="11"/>
        <v>3963.5282999999999</v>
      </c>
      <c r="AM9" s="257">
        <f>AL7*AM5+AL9</f>
        <v>4027.3964999999998</v>
      </c>
      <c r="AN9" s="258">
        <f t="shared" ref="AN9:AW9" si="12">AM7*AN5+AM9</f>
        <v>4083.5230999999999</v>
      </c>
      <c r="AO9" s="258">
        <f t="shared" si="12"/>
        <v>4099.0063</v>
      </c>
      <c r="AP9" s="258">
        <f t="shared" si="12"/>
        <v>4107.7156000000004</v>
      </c>
      <c r="AQ9" s="258">
        <f t="shared" si="12"/>
        <v>4144.4882000000007</v>
      </c>
      <c r="AR9" s="258">
        <f t="shared" si="12"/>
        <v>4158.036000000001</v>
      </c>
      <c r="AS9" s="258">
        <f t="shared" si="12"/>
        <v>4177.3900000000012</v>
      </c>
      <c r="AT9" s="258">
        <f t="shared" si="12"/>
        <v>4194.8086000000012</v>
      </c>
      <c r="AU9" s="258">
        <f t="shared" si="12"/>
        <v>4228.678100000001</v>
      </c>
      <c r="AV9" s="258">
        <f t="shared" si="12"/>
        <v>4266.4184000000014</v>
      </c>
      <c r="AW9" s="258">
        <f t="shared" si="12"/>
        <v>4305.126400000001</v>
      </c>
      <c r="AX9" s="325">
        <f>AW7*AX5+AW9</f>
        <v>4341.8990000000013</v>
      </c>
      <c r="AY9" s="362">
        <f>AY7*AY5+AX8</f>
        <v>4730</v>
      </c>
      <c r="AZ9" s="362">
        <f t="shared" ref="AZ9:BJ9" si="13">AZ7*AZ5+AY8</f>
        <v>4791</v>
      </c>
      <c r="BA9" s="362">
        <f t="shared" si="13"/>
        <v>4846</v>
      </c>
      <c r="BB9" s="362">
        <f t="shared" si="13"/>
        <v>4916</v>
      </c>
      <c r="BC9" s="362">
        <f t="shared" si="13"/>
        <v>5003</v>
      </c>
      <c r="BD9" s="362">
        <f t="shared" si="13"/>
        <v>5133</v>
      </c>
      <c r="BE9" s="362">
        <f t="shared" si="13"/>
        <v>5319</v>
      </c>
      <c r="BF9" s="362">
        <f t="shared" si="13"/>
        <v>5553</v>
      </c>
      <c r="BG9" s="362">
        <f t="shared" si="13"/>
        <v>5706</v>
      </c>
      <c r="BH9" s="362">
        <f t="shared" si="13"/>
        <v>5971</v>
      </c>
      <c r="BI9" s="362">
        <f t="shared" si="13"/>
        <v>6189</v>
      </c>
      <c r="BJ9" s="362">
        <f t="shared" si="13"/>
        <v>6266</v>
      </c>
      <c r="BK9" s="225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225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257"/>
      <c r="CJ9" s="258"/>
      <c r="CK9" s="258"/>
      <c r="CL9" s="258"/>
      <c r="CM9" s="258"/>
      <c r="CN9" s="258"/>
      <c r="CO9" s="258"/>
      <c r="CP9" s="258"/>
      <c r="CQ9" s="258"/>
      <c r="CR9" s="258"/>
      <c r="CS9" s="258"/>
      <c r="CT9" s="258"/>
      <c r="CU9" s="197"/>
      <c r="CV9" s="197"/>
      <c r="CW9" s="197"/>
      <c r="CX9" s="197"/>
      <c r="CY9" s="197"/>
      <c r="CZ9" s="12"/>
      <c r="DA9" s="12"/>
      <c r="DB9" s="12"/>
      <c r="DC9" s="12"/>
      <c r="DD9" s="12"/>
      <c r="DE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</row>
    <row r="10" spans="1:145" customFormat="1">
      <c r="A10" s="1"/>
      <c r="B10" s="197"/>
      <c r="C10" s="225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225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257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325"/>
      <c r="AM10" s="257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325"/>
      <c r="AY10" s="363"/>
      <c r="AZ10" s="363"/>
      <c r="BA10" s="363"/>
      <c r="BB10" s="363"/>
      <c r="BC10" s="363"/>
      <c r="BD10" s="363"/>
      <c r="BE10" s="363"/>
      <c r="BF10" s="363"/>
      <c r="BG10" s="363"/>
      <c r="BH10" s="363"/>
      <c r="BI10" s="363"/>
      <c r="BJ10" s="363"/>
      <c r="BK10" s="227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233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256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96"/>
      <c r="CV10" s="196"/>
      <c r="CW10" s="196"/>
      <c r="CX10" s="196"/>
      <c r="CY10" s="196"/>
      <c r="CZ10" s="1"/>
      <c r="DA10" s="1"/>
      <c r="DB10" s="1"/>
      <c r="DC10" s="1"/>
      <c r="DD10" s="1"/>
      <c r="DE10" s="1"/>
      <c r="DF10" s="8"/>
      <c r="DG10" s="8"/>
      <c r="DH10" s="8"/>
      <c r="DI10" s="8"/>
      <c r="DJ10" s="8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</row>
    <row r="11" spans="1:145" customFormat="1" ht="13.8" thickBot="1">
      <c r="A11" s="1" t="s">
        <v>201</v>
      </c>
      <c r="B11" s="197"/>
      <c r="C11" s="273">
        <f>(C9*$D$3)/12</f>
        <v>54.304027993446972</v>
      </c>
      <c r="D11" s="276">
        <f t="shared" ref="D11:Z11" si="14">(D9*$D$3)/12</f>
        <v>99.848816271550959</v>
      </c>
      <c r="E11" s="276">
        <f t="shared" si="14"/>
        <v>115.84164268981648</v>
      </c>
      <c r="F11" s="276">
        <f t="shared" si="14"/>
        <v>135.13733543359334</v>
      </c>
      <c r="G11" s="276">
        <f t="shared" si="14"/>
        <v>147.1319552472925</v>
      </c>
      <c r="H11" s="276">
        <f t="shared" si="14"/>
        <v>166.60148306083312</v>
      </c>
      <c r="I11" s="276">
        <f t="shared" si="14"/>
        <v>195.43086972070685</v>
      </c>
      <c r="J11" s="276">
        <f t="shared" si="14"/>
        <v>219.95456876254752</v>
      </c>
      <c r="K11" s="276">
        <f t="shared" si="14"/>
        <v>239.42376494843629</v>
      </c>
      <c r="L11" s="276">
        <f t="shared" si="14"/>
        <v>255.33608875421075</v>
      </c>
      <c r="M11" s="276">
        <f t="shared" si="14"/>
        <v>306.44272874216875</v>
      </c>
      <c r="N11" s="276">
        <f t="shared" si="14"/>
        <v>373.08728491694183</v>
      </c>
      <c r="O11" s="269">
        <f t="shared" si="14"/>
        <v>427.56359347553439</v>
      </c>
      <c r="P11" s="268">
        <f t="shared" si="14"/>
        <v>459.01383346812395</v>
      </c>
      <c r="Q11" s="268">
        <f t="shared" si="14"/>
        <v>469.68445060846676</v>
      </c>
      <c r="R11" s="268">
        <f t="shared" si="14"/>
        <v>488.03042393747728</v>
      </c>
      <c r="S11" s="268">
        <f t="shared" si="14"/>
        <v>503.19393250533295</v>
      </c>
      <c r="T11" s="268">
        <f t="shared" si="14"/>
        <v>520.22947916798569</v>
      </c>
      <c r="U11" s="268">
        <f t="shared" si="14"/>
        <v>536.74381079554246</v>
      </c>
      <c r="V11" s="268">
        <f t="shared" si="14"/>
        <v>563.86208167868836</v>
      </c>
      <c r="W11" s="268">
        <f t="shared" si="14"/>
        <v>596.02156958498324</v>
      </c>
      <c r="X11" s="268">
        <f t="shared" si="14"/>
        <v>628.70256270056927</v>
      </c>
      <c r="Y11" s="268">
        <f t="shared" si="14"/>
        <v>657.38534921158896</v>
      </c>
      <c r="Z11" s="268">
        <f t="shared" si="14"/>
        <v>677.72405237394833</v>
      </c>
      <c r="AA11" s="273">
        <f>(AA9*$F$3)/12</f>
        <v>513.78412157731441</v>
      </c>
      <c r="AB11" s="276">
        <f t="shared" ref="AB11:AL11" si="15">(AB9*$F$3)/12</f>
        <v>528.86612232570508</v>
      </c>
      <c r="AC11" s="276">
        <f t="shared" si="15"/>
        <v>532.50660526497165</v>
      </c>
      <c r="AD11" s="276">
        <f t="shared" si="15"/>
        <v>538.09734692170275</v>
      </c>
      <c r="AE11" s="276">
        <f t="shared" si="15"/>
        <v>540.56767463049084</v>
      </c>
      <c r="AF11" s="276">
        <f t="shared" si="15"/>
        <v>551.8791751917837</v>
      </c>
      <c r="AG11" s="276">
        <f t="shared" si="15"/>
        <v>557.87978044877741</v>
      </c>
      <c r="AH11" s="276">
        <f t="shared" si="15"/>
        <v>565.23052188859458</v>
      </c>
      <c r="AI11" s="276">
        <f t="shared" si="15"/>
        <v>571.38114227701294</v>
      </c>
      <c r="AJ11" s="276">
        <f t="shared" si="15"/>
        <v>575.88159621975819</v>
      </c>
      <c r="AK11" s="276">
        <f>(AK9*$F$3)/12</f>
        <v>591.48316988794159</v>
      </c>
      <c r="AL11" s="326">
        <f t="shared" si="15"/>
        <v>614.43548499594215</v>
      </c>
      <c r="AM11" s="269">
        <f>(AM9*$H$3)/12</f>
        <v>884349.14812499995</v>
      </c>
      <c r="AN11" s="268">
        <f>(AN9*$H$3)/12</f>
        <v>896673.61404166662</v>
      </c>
      <c r="AO11" s="268">
        <f t="shared" ref="AO11:AW11" si="16">(AO9*$H$3)/12</f>
        <v>900073.46670833335</v>
      </c>
      <c r="AP11" s="268">
        <f t="shared" si="16"/>
        <v>901985.88383333338</v>
      </c>
      <c r="AQ11" s="268">
        <f t="shared" si="16"/>
        <v>910060.53391666675</v>
      </c>
      <c r="AR11" s="268">
        <f t="shared" si="16"/>
        <v>913035.40500000026</v>
      </c>
      <c r="AS11" s="268">
        <f t="shared" si="16"/>
        <v>917285.22083333367</v>
      </c>
      <c r="AT11" s="268">
        <f t="shared" si="16"/>
        <v>921110.05508333363</v>
      </c>
      <c r="AU11" s="268">
        <f t="shared" si="16"/>
        <v>928547.23279166687</v>
      </c>
      <c r="AV11" s="268">
        <f t="shared" si="16"/>
        <v>936834.37366666691</v>
      </c>
      <c r="AW11" s="268">
        <f t="shared" si="16"/>
        <v>945334.00533333363</v>
      </c>
      <c r="AX11" s="354">
        <f>(AX9*$H$3)/12</f>
        <v>953408.655416667</v>
      </c>
      <c r="AY11" s="364">
        <f>AY9*J3/12</f>
        <v>1094.8127457988405</v>
      </c>
      <c r="AZ11" s="364">
        <f>AZ9*J3/12</f>
        <v>1108.9318953746817</v>
      </c>
      <c r="BA11" s="364">
        <f>BA9*J3/12</f>
        <v>1121.6622761397846</v>
      </c>
      <c r="BB11" s="364">
        <f>BB9*J3/12</f>
        <v>1137.8645789317336</v>
      </c>
      <c r="BC11" s="364">
        <f>BC9*J3/12</f>
        <v>1158.0017266874418</v>
      </c>
      <c r="BD11" s="364">
        <f>BD9*J3/12</f>
        <v>1188.0917175867755</v>
      </c>
      <c r="BE11" s="364">
        <f>BE9*J3/12</f>
        <v>1231.1435507196686</v>
      </c>
      <c r="BF11" s="364">
        <f>BF9*J3/12</f>
        <v>1285.3055343384697</v>
      </c>
      <c r="BG11" s="364">
        <f>BG9*J3/12</f>
        <v>1320.7191390123012</v>
      </c>
      <c r="BH11" s="364">
        <f>BH9*J3/12</f>
        <v>1382.0564281532509</v>
      </c>
      <c r="BI11" s="364">
        <f>BI9*J3/12</f>
        <v>1432.5150282767493</v>
      </c>
      <c r="BJ11" s="364">
        <f>BJ9*J3/12</f>
        <v>1450.3375613478931</v>
      </c>
      <c r="BK11" s="228"/>
      <c r="BL11" s="229"/>
      <c r="BM11" s="229"/>
      <c r="BN11" s="229"/>
      <c r="BO11" s="229"/>
      <c r="BP11" s="229"/>
      <c r="BQ11" s="229"/>
      <c r="BR11" s="229"/>
      <c r="BS11" s="229"/>
      <c r="BT11" s="229"/>
      <c r="BU11" s="229"/>
      <c r="BV11" s="229"/>
      <c r="BW11" s="234"/>
      <c r="BX11" s="235"/>
      <c r="BY11" s="235"/>
      <c r="BZ11" s="235"/>
      <c r="CA11" s="235"/>
      <c r="CB11" s="235"/>
      <c r="CC11" s="235"/>
      <c r="CD11" s="235"/>
      <c r="CE11" s="235"/>
      <c r="CF11" s="235"/>
      <c r="CG11" s="235"/>
      <c r="CH11" s="235"/>
      <c r="CI11" s="259"/>
      <c r="CJ11" s="260"/>
      <c r="CK11" s="260"/>
      <c r="CL11" s="260"/>
      <c r="CM11" s="261"/>
      <c r="CN11" s="261"/>
      <c r="CO11" s="261"/>
      <c r="CP11" s="261"/>
      <c r="CQ11" s="261"/>
      <c r="CR11" s="261"/>
      <c r="CS11" s="261"/>
      <c r="CT11" s="261"/>
      <c r="CU11" s="265"/>
      <c r="CV11" s="265"/>
      <c r="CW11" s="265"/>
      <c r="CX11" s="265"/>
      <c r="CY11" s="265"/>
      <c r="CZ11" s="1"/>
      <c r="DA11" s="1"/>
      <c r="DB11" s="1"/>
      <c r="DC11" s="1"/>
      <c r="DD11" s="1"/>
      <c r="DE11" s="1"/>
      <c r="DF11" s="8"/>
      <c r="DG11" s="8"/>
      <c r="DH11" s="8"/>
      <c r="DI11" s="8"/>
      <c r="DJ11" s="8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</row>
    <row r="12" spans="1:145" customFormat="1" ht="13.8" thickBot="1">
      <c r="A12" s="1" t="s">
        <v>155</v>
      </c>
      <c r="B12" s="197"/>
      <c r="C12" s="278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302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3"/>
      <c r="AA12" s="278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355"/>
      <c r="AN12" s="356"/>
      <c r="AO12" s="356"/>
      <c r="AP12" s="356"/>
      <c r="AQ12" s="356"/>
      <c r="AR12" s="356"/>
      <c r="AS12" s="356"/>
      <c r="AT12" s="356"/>
      <c r="AU12" s="356"/>
      <c r="AV12" s="356"/>
      <c r="AW12" s="356"/>
      <c r="AX12" s="357"/>
      <c r="AY12" s="342">
        <f>AY11*('GS VER 2021'!$E$85/365)</f>
        <v>1086.8999593811418</v>
      </c>
      <c r="AZ12" s="342">
        <f>AZ11*('GS VER 2021'!$E$85/365)</f>
        <v>1100.9170624513847</v>
      </c>
      <c r="BA12" s="342">
        <f>BA11*('GS VER 2021'!$E$85/365)</f>
        <v>1113.5554340720957</v>
      </c>
      <c r="BB12" s="342">
        <f>BB11*('GS VER 2021'!$E$85/365)</f>
        <v>1129.640634316637</v>
      </c>
      <c r="BC12" s="342">
        <f>BC11*('GS VER 2021'!$E$85/365)</f>
        <v>1149.6322403348527</v>
      </c>
      <c r="BD12" s="342">
        <f>BD11*('GS VER 2021'!$E$85/365)</f>
        <v>1179.5047550747147</v>
      </c>
      <c r="BE12" s="342">
        <f>BE11*('GS VER 2021'!$E$85/365)</f>
        <v>1222.2454300102099</v>
      </c>
      <c r="BF12" s="342">
        <f>BF11*('GS VER 2021'!$E$85/365)</f>
        <v>1276.0159565419619</v>
      </c>
      <c r="BG12" s="342">
        <f>BG11*('GS VER 2021'!$E$85/365)</f>
        <v>1311.1736085050309</v>
      </c>
      <c r="BH12" s="342">
        <f>BH11*('GS VER 2021'!$E$85/365)</f>
        <v>1372.0675808593653</v>
      </c>
      <c r="BI12" s="342">
        <f>BI11*('GS VER 2021'!$E$85/365)</f>
        <v>1422.1614901923651</v>
      </c>
      <c r="BJ12" s="342">
        <f>BJ11*('GS VER 2021'!$E$85/365)</f>
        <v>1439.8552104613602</v>
      </c>
      <c r="BK12" s="230"/>
      <c r="BL12" s="231"/>
      <c r="BM12" s="231"/>
      <c r="BN12" s="231"/>
      <c r="BO12" s="231"/>
      <c r="BP12" s="231"/>
      <c r="BQ12" s="231"/>
      <c r="BR12" s="231"/>
      <c r="BS12" s="231"/>
      <c r="BT12" s="231"/>
      <c r="BU12" s="231"/>
      <c r="BV12" s="231"/>
      <c r="BW12" s="246"/>
      <c r="BX12" s="247"/>
      <c r="BY12" s="247"/>
      <c r="BZ12" s="247"/>
      <c r="CA12" s="247"/>
      <c r="CB12" s="247"/>
      <c r="CC12" s="247"/>
      <c r="CD12" s="247"/>
      <c r="CE12" s="247"/>
      <c r="CF12" s="247"/>
      <c r="CG12" s="247"/>
      <c r="CH12" s="247"/>
      <c r="CI12" s="246"/>
      <c r="CJ12" s="247"/>
      <c r="CK12" s="247"/>
      <c r="CL12" s="247"/>
      <c r="CM12" s="247"/>
      <c r="CN12" s="247"/>
      <c r="CO12" s="247"/>
      <c r="CP12" s="247"/>
      <c r="CQ12" s="247"/>
      <c r="CR12" s="247"/>
      <c r="CS12" s="247"/>
      <c r="CT12" s="247"/>
      <c r="CU12" s="263"/>
      <c r="CV12" s="263"/>
      <c r="CW12" s="263"/>
      <c r="CX12" s="263"/>
      <c r="CY12" s="263"/>
      <c r="CZ12" s="1"/>
      <c r="DA12" s="1"/>
      <c r="DB12" s="1"/>
      <c r="DC12" s="1"/>
      <c r="DD12" s="1"/>
      <c r="DE12" s="1"/>
      <c r="DF12" s="8"/>
      <c r="DG12" s="8"/>
      <c r="DH12" s="8"/>
      <c r="DI12" s="8"/>
      <c r="DJ12" s="8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</row>
    <row r="13" spans="1:145">
      <c r="B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</row>
    <row r="14" spans="1:145">
      <c r="A14" s="16"/>
      <c r="B14" s="18"/>
      <c r="C14" s="18"/>
      <c r="D14" s="18"/>
      <c r="E14" s="18"/>
      <c r="I14" s="18"/>
      <c r="J14" s="18"/>
      <c r="K14" s="18"/>
      <c r="L14" s="198" t="s">
        <v>158</v>
      </c>
      <c r="M14" s="195"/>
      <c r="N14" s="199">
        <f>SUM(C7:N7)</f>
        <v>2040</v>
      </c>
      <c r="O14" s="196"/>
      <c r="P14" s="195"/>
      <c r="Q14" s="195"/>
      <c r="R14" s="195"/>
      <c r="S14" s="195"/>
      <c r="T14" s="195"/>
      <c r="U14" s="195"/>
      <c r="V14" s="195"/>
      <c r="W14" s="195"/>
      <c r="X14" s="198" t="s">
        <v>158</v>
      </c>
      <c r="Y14" s="195"/>
      <c r="Z14" s="199">
        <f>SUM(O7:Z7)</f>
        <v>1454</v>
      </c>
      <c r="AA14" s="195"/>
      <c r="AB14" s="195"/>
      <c r="AC14" s="195"/>
      <c r="AD14" s="195"/>
      <c r="AE14" s="195"/>
      <c r="AF14" s="195"/>
      <c r="AG14" s="195"/>
      <c r="AH14" s="195"/>
      <c r="AI14" s="195"/>
      <c r="AJ14" s="198" t="s">
        <v>158</v>
      </c>
      <c r="AK14" s="195"/>
      <c r="AL14" s="199">
        <f>SUM(AA7:AL7)</f>
        <v>776</v>
      </c>
      <c r="AM14" s="195"/>
      <c r="AN14" s="195"/>
      <c r="AO14" s="195"/>
      <c r="AP14" s="195"/>
      <c r="AQ14" s="195"/>
      <c r="AR14" s="195"/>
      <c r="AS14" s="195"/>
      <c r="AT14" s="195"/>
      <c r="AU14" s="195"/>
      <c r="AV14" s="15" t="s">
        <v>158</v>
      </c>
      <c r="AW14" s="330"/>
      <c r="AX14" s="331">
        <f>SUM(AM7:AX7)</f>
        <v>414</v>
      </c>
      <c r="AY14" s="195"/>
      <c r="AZ14" s="195"/>
      <c r="BA14" s="195"/>
      <c r="BB14" s="195"/>
      <c r="BC14" s="195"/>
      <c r="BD14" s="195"/>
      <c r="BE14" s="195"/>
      <c r="BF14" s="195"/>
      <c r="BG14" s="195"/>
      <c r="BH14" s="198" t="s">
        <v>158</v>
      </c>
      <c r="BI14" s="195"/>
      <c r="BJ14" s="199">
        <f>SUM(AY7:BJ7)</f>
        <v>1582</v>
      </c>
      <c r="BT14" s="198" t="s">
        <v>158</v>
      </c>
      <c r="BU14" s="195"/>
      <c r="BV14" s="199">
        <f>SUM(BK7:BV7)</f>
        <v>0</v>
      </c>
      <c r="CF14" s="198" t="s">
        <v>158</v>
      </c>
      <c r="CG14" s="195"/>
      <c r="CH14" s="199">
        <f>SUM(BW7:CH7)</f>
        <v>0</v>
      </c>
      <c r="CR14" s="198" t="s">
        <v>158</v>
      </c>
      <c r="CT14" s="20">
        <f>SUM(CI7:CT7)</f>
        <v>0</v>
      </c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>
      <c r="B15" s="1"/>
      <c r="C15" s="1"/>
      <c r="D15" s="1"/>
      <c r="E15" s="1"/>
      <c r="I15" s="1"/>
      <c r="J15" s="1"/>
      <c r="K15" s="1"/>
      <c r="L15" s="198" t="s">
        <v>210</v>
      </c>
      <c r="M15" s="195"/>
      <c r="N15" s="199">
        <f>SUM(C12:N12)</f>
        <v>0</v>
      </c>
      <c r="O15" s="196"/>
      <c r="P15" s="195"/>
      <c r="Q15" s="195"/>
      <c r="R15" s="195"/>
      <c r="S15" s="195"/>
      <c r="T15" s="195"/>
      <c r="U15" s="195"/>
      <c r="V15" s="195"/>
      <c r="W15" s="195"/>
      <c r="X15" s="198" t="s">
        <v>217</v>
      </c>
      <c r="Y15" s="195"/>
      <c r="Z15" s="199">
        <f>SUM(O12:Z12)</f>
        <v>0</v>
      </c>
      <c r="AA15" s="195"/>
      <c r="AB15" s="195"/>
      <c r="AC15" s="195"/>
      <c r="AD15" s="195"/>
      <c r="AE15" s="195"/>
      <c r="AF15" s="195"/>
      <c r="AG15" s="195"/>
      <c r="AH15" s="195"/>
      <c r="AI15" s="195"/>
      <c r="AJ15" s="198" t="s">
        <v>216</v>
      </c>
      <c r="AK15" s="195"/>
      <c r="AL15" s="199">
        <f>SUM(AA12:AL12)</f>
        <v>0</v>
      </c>
      <c r="AM15" s="195"/>
      <c r="AN15" s="195"/>
      <c r="AO15" s="195"/>
      <c r="AP15" s="195"/>
      <c r="AQ15" s="195"/>
      <c r="AR15" s="195"/>
      <c r="AS15" s="195"/>
      <c r="AT15" s="195"/>
      <c r="AU15" s="195"/>
      <c r="AV15" s="15" t="s">
        <v>215</v>
      </c>
      <c r="AW15" s="330"/>
      <c r="AX15" s="331">
        <f>SUM(AM12:AX12)</f>
        <v>0</v>
      </c>
      <c r="AY15" s="195"/>
      <c r="AZ15" s="195"/>
      <c r="BA15" s="195"/>
      <c r="BB15" s="195"/>
      <c r="BC15" s="195"/>
      <c r="BD15" s="195"/>
      <c r="BE15" s="195"/>
      <c r="BF15" s="195"/>
      <c r="BG15" s="195"/>
      <c r="BH15" s="198" t="s">
        <v>214</v>
      </c>
      <c r="BI15" s="195"/>
      <c r="BJ15" s="199">
        <f>SUM(AY12:BJ12)</f>
        <v>14803.669362201123</v>
      </c>
      <c r="BT15" s="198" t="s">
        <v>213</v>
      </c>
      <c r="BU15" s="195"/>
      <c r="BV15" s="199">
        <f>SUM(BK12:BV12)</f>
        <v>0</v>
      </c>
      <c r="CF15" s="198" t="s">
        <v>212</v>
      </c>
      <c r="CG15" s="195"/>
      <c r="CH15" s="245">
        <f>SUM(BW12:CH12)</f>
        <v>0</v>
      </c>
      <c r="CR15" s="198" t="s">
        <v>211</v>
      </c>
      <c r="CT15" s="19">
        <f>SUM(CI12:CT12)</f>
        <v>0</v>
      </c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45" s="308" customFormat="1">
      <c r="A16" s="307"/>
      <c r="B16" s="307"/>
      <c r="C16" s="222">
        <f>C7</f>
        <v>262</v>
      </c>
      <c r="D16" s="222">
        <f t="shared" ref="D16:AW16" si="17">D7</f>
        <v>92</v>
      </c>
      <c r="E16" s="222">
        <f t="shared" si="17"/>
        <v>111</v>
      </c>
      <c r="F16" s="222">
        <f t="shared" si="17"/>
        <v>69</v>
      </c>
      <c r="G16" s="222">
        <f t="shared" si="17"/>
        <v>112</v>
      </c>
      <c r="H16" s="222">
        <f t="shared" si="17"/>
        <v>154</v>
      </c>
      <c r="I16" s="222">
        <f t="shared" si="17"/>
        <v>131</v>
      </c>
      <c r="J16" s="222">
        <f t="shared" si="17"/>
        <v>104</v>
      </c>
      <c r="K16" s="222">
        <f t="shared" si="17"/>
        <v>85</v>
      </c>
      <c r="L16" s="222">
        <f t="shared" si="17"/>
        <v>273</v>
      </c>
      <c r="M16" s="222">
        <f t="shared" si="17"/>
        <v>356</v>
      </c>
      <c r="N16" s="222">
        <f t="shared" si="17"/>
        <v>291</v>
      </c>
      <c r="O16" s="222">
        <f t="shared" si="17"/>
        <v>168</v>
      </c>
      <c r="P16" s="222">
        <f t="shared" si="17"/>
        <v>57</v>
      </c>
      <c r="Q16" s="222">
        <f t="shared" si="17"/>
        <v>98</v>
      </c>
      <c r="R16" s="222">
        <f t="shared" si="17"/>
        <v>81</v>
      </c>
      <c r="S16" s="222">
        <f t="shared" si="17"/>
        <v>91</v>
      </c>
      <c r="T16" s="222">
        <f t="shared" si="17"/>
        <v>95</v>
      </c>
      <c r="U16" s="222">
        <f t="shared" si="17"/>
        <v>156</v>
      </c>
      <c r="V16" s="222">
        <f t="shared" si="17"/>
        <v>185</v>
      </c>
      <c r="W16" s="222">
        <f t="shared" si="17"/>
        <v>188</v>
      </c>
      <c r="X16" s="222">
        <f t="shared" si="17"/>
        <v>165</v>
      </c>
      <c r="Y16" s="222">
        <f t="shared" si="17"/>
        <v>117</v>
      </c>
      <c r="Z16" s="222">
        <f t="shared" si="17"/>
        <v>53</v>
      </c>
      <c r="AA16" s="222">
        <f t="shared" si="17"/>
        <v>116</v>
      </c>
      <c r="AB16" s="222">
        <f t="shared" si="17"/>
        <v>28</v>
      </c>
      <c r="AC16" s="222">
        <f t="shared" si="17"/>
        <v>43</v>
      </c>
      <c r="AD16" s="222">
        <f t="shared" si="17"/>
        <v>19</v>
      </c>
      <c r="AE16" s="222">
        <f t="shared" si="17"/>
        <v>87</v>
      </c>
      <c r="AF16" s="222">
        <f t="shared" si="17"/>
        <v>40</v>
      </c>
      <c r="AG16" s="222">
        <f t="shared" si="17"/>
        <v>49</v>
      </c>
      <c r="AH16" s="222">
        <f t="shared" si="17"/>
        <v>41</v>
      </c>
      <c r="AI16" s="222">
        <f t="shared" si="17"/>
        <v>30</v>
      </c>
      <c r="AJ16" s="222">
        <f t="shared" si="17"/>
        <v>104</v>
      </c>
      <c r="AK16" s="222">
        <f t="shared" si="17"/>
        <v>153</v>
      </c>
      <c r="AL16" s="222">
        <f t="shared" si="17"/>
        <v>66</v>
      </c>
      <c r="AM16" s="222">
        <f t="shared" si="17"/>
        <v>58</v>
      </c>
      <c r="AN16" s="222">
        <f>AN7</f>
        <v>16</v>
      </c>
      <c r="AO16" s="222">
        <f t="shared" si="17"/>
        <v>9</v>
      </c>
      <c r="AP16" s="222">
        <f t="shared" si="17"/>
        <v>38</v>
      </c>
      <c r="AQ16" s="222">
        <f t="shared" si="17"/>
        <v>14</v>
      </c>
      <c r="AR16" s="222">
        <f t="shared" si="17"/>
        <v>20</v>
      </c>
      <c r="AS16" s="222">
        <f t="shared" si="17"/>
        <v>18</v>
      </c>
      <c r="AT16" s="222">
        <f t="shared" si="17"/>
        <v>35</v>
      </c>
      <c r="AU16" s="222">
        <f t="shared" si="17"/>
        <v>39</v>
      </c>
      <c r="AV16" s="222">
        <f t="shared" si="17"/>
        <v>40</v>
      </c>
      <c r="AW16" s="222">
        <f t="shared" si="17"/>
        <v>38</v>
      </c>
      <c r="AX16" s="222">
        <f>AX7</f>
        <v>89</v>
      </c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  <c r="BI16" s="307"/>
      <c r="BJ16" s="307"/>
      <c r="BK16" s="307"/>
      <c r="BL16" s="307"/>
      <c r="BM16" s="307"/>
      <c r="BN16" s="307"/>
      <c r="BO16" s="307"/>
      <c r="BP16" s="307"/>
      <c r="BQ16" s="307"/>
      <c r="BR16" s="307"/>
      <c r="BS16" s="307"/>
      <c r="BT16" s="307"/>
      <c r="BU16" s="307"/>
      <c r="BV16" s="307"/>
      <c r="BW16" s="307"/>
      <c r="BX16" s="307"/>
      <c r="BY16" s="307"/>
      <c r="BZ16" s="307"/>
      <c r="CA16" s="307"/>
      <c r="CB16" s="307"/>
      <c r="CC16" s="307"/>
      <c r="CD16" s="307"/>
      <c r="CE16" s="307"/>
      <c r="CF16" s="307"/>
      <c r="CG16" s="307"/>
      <c r="CH16" s="307"/>
      <c r="CI16" s="307"/>
      <c r="CJ16" s="307"/>
      <c r="CK16" s="307"/>
      <c r="CL16" s="307"/>
      <c r="CM16" s="307"/>
      <c r="CN16" s="307"/>
      <c r="CO16" s="307"/>
      <c r="CP16" s="307"/>
      <c r="CQ16" s="307"/>
      <c r="CR16" s="307"/>
      <c r="CS16" s="307"/>
      <c r="CT16" s="307"/>
    </row>
    <row r="17" spans="1:145" s="220" customFormat="1">
      <c r="B17" s="179"/>
      <c r="C17" s="222">
        <f>C8</f>
        <v>262</v>
      </c>
      <c r="D17" s="222">
        <f t="shared" ref="D17:AX17" si="18">D8</f>
        <v>354</v>
      </c>
      <c r="E17" s="222">
        <f t="shared" si="18"/>
        <v>465</v>
      </c>
      <c r="F17" s="222">
        <f t="shared" si="18"/>
        <v>534</v>
      </c>
      <c r="G17" s="222">
        <f t="shared" si="18"/>
        <v>646</v>
      </c>
      <c r="H17" s="222">
        <f t="shared" si="18"/>
        <v>800</v>
      </c>
      <c r="I17" s="222">
        <f t="shared" si="18"/>
        <v>931</v>
      </c>
      <c r="J17" s="222">
        <f t="shared" si="18"/>
        <v>1035</v>
      </c>
      <c r="K17" s="222">
        <f t="shared" si="18"/>
        <v>1120</v>
      </c>
      <c r="L17" s="222">
        <f t="shared" si="18"/>
        <v>1393</v>
      </c>
      <c r="M17" s="222">
        <f t="shared" si="18"/>
        <v>1749</v>
      </c>
      <c r="N17" s="222">
        <f t="shared" si="18"/>
        <v>2040</v>
      </c>
      <c r="O17" s="222">
        <f t="shared" si="18"/>
        <v>2208</v>
      </c>
      <c r="P17" s="222">
        <f t="shared" si="18"/>
        <v>2265</v>
      </c>
      <c r="Q17" s="222">
        <f t="shared" si="18"/>
        <v>2363</v>
      </c>
      <c r="R17" s="222">
        <f t="shared" si="18"/>
        <v>2444</v>
      </c>
      <c r="S17" s="222">
        <f t="shared" si="18"/>
        <v>2535</v>
      </c>
      <c r="T17" s="222">
        <f t="shared" si="18"/>
        <v>2630</v>
      </c>
      <c r="U17" s="222">
        <f t="shared" si="18"/>
        <v>2786</v>
      </c>
      <c r="V17" s="222">
        <f t="shared" si="18"/>
        <v>2971</v>
      </c>
      <c r="W17" s="222">
        <f t="shared" si="18"/>
        <v>3159</v>
      </c>
      <c r="X17" s="222">
        <f t="shared" si="18"/>
        <v>3324</v>
      </c>
      <c r="Y17" s="222">
        <f t="shared" si="18"/>
        <v>3441</v>
      </c>
      <c r="Z17" s="222">
        <f t="shared" si="18"/>
        <v>3494</v>
      </c>
      <c r="AA17" s="222">
        <f t="shared" si="18"/>
        <v>3610</v>
      </c>
      <c r="AB17" s="222">
        <f t="shared" si="18"/>
        <v>3638</v>
      </c>
      <c r="AC17" s="222">
        <f t="shared" si="18"/>
        <v>3681</v>
      </c>
      <c r="AD17" s="222">
        <f t="shared" si="18"/>
        <v>3700</v>
      </c>
      <c r="AE17" s="222">
        <f t="shared" si="18"/>
        <v>3787</v>
      </c>
      <c r="AF17" s="222">
        <f t="shared" si="18"/>
        <v>3827</v>
      </c>
      <c r="AG17" s="222">
        <f t="shared" si="18"/>
        <v>3876</v>
      </c>
      <c r="AH17" s="222">
        <f t="shared" si="18"/>
        <v>3917</v>
      </c>
      <c r="AI17" s="222">
        <f t="shared" si="18"/>
        <v>3947</v>
      </c>
      <c r="AJ17" s="222">
        <f t="shared" si="18"/>
        <v>4051</v>
      </c>
      <c r="AK17" s="222">
        <f t="shared" si="18"/>
        <v>4204</v>
      </c>
      <c r="AL17" s="222">
        <f t="shared" si="18"/>
        <v>4270</v>
      </c>
      <c r="AM17" s="222">
        <f t="shared" si="18"/>
        <v>4328</v>
      </c>
      <c r="AN17" s="222">
        <f>AN8</f>
        <v>4344</v>
      </c>
      <c r="AO17" s="222">
        <f t="shared" si="18"/>
        <v>4353</v>
      </c>
      <c r="AP17" s="222">
        <f t="shared" si="18"/>
        <v>4391</v>
      </c>
      <c r="AQ17" s="222">
        <f t="shared" si="18"/>
        <v>4405</v>
      </c>
      <c r="AR17" s="222">
        <f t="shared" si="18"/>
        <v>4425</v>
      </c>
      <c r="AS17" s="222">
        <f t="shared" si="18"/>
        <v>4443</v>
      </c>
      <c r="AT17" s="222">
        <f t="shared" si="18"/>
        <v>4478</v>
      </c>
      <c r="AU17" s="222">
        <f t="shared" si="18"/>
        <v>4517</v>
      </c>
      <c r="AV17" s="222">
        <f t="shared" si="18"/>
        <v>4557</v>
      </c>
      <c r="AW17" s="222">
        <f t="shared" si="18"/>
        <v>4595</v>
      </c>
      <c r="AX17" s="222">
        <f t="shared" si="18"/>
        <v>4684</v>
      </c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179"/>
      <c r="CO17" s="179"/>
      <c r="CP17" s="179"/>
      <c r="CQ17" s="179"/>
      <c r="CR17" s="179"/>
      <c r="CS17" s="179"/>
      <c r="CT17" s="179"/>
    </row>
    <row r="18" spans="1:145"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</row>
    <row r="19" spans="1:145"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A19" s="220"/>
      <c r="BB19" s="220"/>
      <c r="BC19" s="220"/>
      <c r="BD19" s="220"/>
      <c r="BE19" s="220"/>
      <c r="BF19" s="220"/>
      <c r="BG19" s="220"/>
      <c r="BH19" s="220"/>
      <c r="BI19" s="220"/>
      <c r="BJ19" s="220"/>
      <c r="BK19" s="220"/>
      <c r="BL19" s="220"/>
      <c r="BM19" s="220"/>
      <c r="BN19" s="220"/>
      <c r="BO19" s="220"/>
      <c r="BP19" s="220"/>
      <c r="BQ19" s="220"/>
      <c r="BR19" s="220"/>
      <c r="BS19" s="220"/>
      <c r="BT19" s="220"/>
      <c r="BU19" s="220"/>
      <c r="BV19" s="220"/>
      <c r="BW19" s="220"/>
      <c r="BX19" s="220"/>
      <c r="BY19" s="220"/>
      <c r="BZ19" s="220"/>
      <c r="CA19" s="220"/>
      <c r="CB19" s="220"/>
      <c r="CC19" s="220"/>
      <c r="CD19" s="220"/>
      <c r="CE19" s="220"/>
      <c r="CF19" s="220"/>
      <c r="CG19" s="220"/>
      <c r="CH19" s="220"/>
      <c r="CI19" s="220"/>
      <c r="CJ19" s="220"/>
      <c r="CK19" s="220"/>
      <c r="CL19" s="220"/>
      <c r="CM19" s="220"/>
      <c r="CN19" s="220"/>
      <c r="CO19" s="220"/>
      <c r="CP19" s="220"/>
      <c r="CQ19" s="220"/>
      <c r="CR19" s="220"/>
      <c r="CS19" s="220"/>
      <c r="CT19" s="220"/>
    </row>
    <row r="20" spans="1:145"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1" t="str">
        <f>A5</f>
        <v>Historical drop-off rate</v>
      </c>
      <c r="N20" s="220"/>
      <c r="O20" s="220"/>
      <c r="P20" s="220"/>
      <c r="Q20" s="220"/>
      <c r="R20" s="220"/>
      <c r="S20" s="221" t="s">
        <v>188</v>
      </c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220"/>
      <c r="BO20" s="220"/>
      <c r="BP20" s="220"/>
      <c r="BQ20" s="220"/>
      <c r="BR20" s="220"/>
      <c r="BS20" s="220"/>
      <c r="BT20" s="220"/>
      <c r="BU20" s="220"/>
      <c r="BV20" s="220"/>
      <c r="BW20" s="220"/>
      <c r="BX20" s="220"/>
      <c r="BY20" s="220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220"/>
      <c r="CM20" s="220"/>
      <c r="CN20" s="220"/>
      <c r="CO20" s="220"/>
      <c r="CP20" s="220"/>
      <c r="CQ20" s="220"/>
      <c r="CR20" s="220"/>
      <c r="CS20" s="220"/>
      <c r="CT20" s="220"/>
    </row>
    <row r="21" spans="1:145">
      <c r="B21" s="220"/>
      <c r="C21" s="220"/>
      <c r="D21" s="220"/>
      <c r="E21" s="220"/>
      <c r="F21" s="222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220"/>
      <c r="BO21" s="220"/>
      <c r="BP21" s="220"/>
      <c r="BQ21" s="220"/>
      <c r="BR21" s="220"/>
      <c r="BS21" s="220"/>
      <c r="BT21" s="220"/>
      <c r="BU21" s="220"/>
      <c r="BV21" s="220"/>
      <c r="BW21" s="220"/>
      <c r="BX21" s="220"/>
      <c r="BY21" s="220"/>
      <c r="BZ21" s="220"/>
      <c r="CA21" s="220"/>
      <c r="CB21" s="220"/>
      <c r="CC21" s="220"/>
      <c r="CD21" s="220"/>
      <c r="CE21" s="220"/>
      <c r="CF21" s="220"/>
      <c r="CG21" s="220"/>
      <c r="CH21" s="179">
        <f>CG18</f>
        <v>0</v>
      </c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0"/>
      <c r="CT21" s="179">
        <f>CS18</f>
        <v>0</v>
      </c>
    </row>
    <row r="22" spans="1:145">
      <c r="M22" s="8" t="s">
        <v>193</v>
      </c>
      <c r="N22" s="8" t="s">
        <v>241</v>
      </c>
      <c r="O22" s="8" t="s">
        <v>231</v>
      </c>
    </row>
    <row r="23" spans="1:145" ht="13.8" thickBot="1">
      <c r="L23" s="219"/>
      <c r="M23" s="219" t="s">
        <v>235</v>
      </c>
      <c r="N23" s="335">
        <v>0.8387</v>
      </c>
      <c r="O23" s="336">
        <f>SUM(C7:H7)</f>
        <v>800</v>
      </c>
      <c r="P23" s="3"/>
    </row>
    <row r="24" spans="1:145" customFormat="1">
      <c r="A24" s="16" t="s">
        <v>28</v>
      </c>
      <c r="B24" s="249">
        <v>2017</v>
      </c>
      <c r="C24" s="250">
        <v>2018</v>
      </c>
      <c r="D24" s="318">
        <v>2019</v>
      </c>
      <c r="E24" s="367">
        <v>2020</v>
      </c>
      <c r="F24" s="347">
        <v>2021</v>
      </c>
      <c r="G24" s="293">
        <v>2022</v>
      </c>
      <c r="H24" s="294">
        <v>2023</v>
      </c>
      <c r="I24" s="293">
        <v>2024</v>
      </c>
      <c r="J24" s="295">
        <v>2025</v>
      </c>
      <c r="K24" s="23"/>
      <c r="L24" s="219"/>
      <c r="M24" s="219" t="s">
        <v>228</v>
      </c>
      <c r="N24" s="335">
        <v>0.9032</v>
      </c>
      <c r="O24" s="336">
        <f>SUM(I7:T7)</f>
        <v>1830</v>
      </c>
      <c r="P24" s="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</row>
    <row r="25" spans="1:145" customFormat="1">
      <c r="A25" s="7" t="s">
        <v>30</v>
      </c>
      <c r="B25" s="251">
        <f>SUM(C7:N7)</f>
        <v>2040</v>
      </c>
      <c r="C25" s="251">
        <f>SUM(O7:Z7)</f>
        <v>1454</v>
      </c>
      <c r="D25" s="319">
        <f>SUM(AA7:AL7)</f>
        <v>776</v>
      </c>
      <c r="E25" s="319">
        <f>SUM(AM7:AX7)</f>
        <v>414</v>
      </c>
      <c r="F25" s="365">
        <f>SUM(AY7:BJ7)</f>
        <v>1582</v>
      </c>
      <c r="G25" s="296">
        <f>SUM(AY7:BJ7)</f>
        <v>1582</v>
      </c>
      <c r="H25" s="296">
        <f>SUM(BK7:BV7)</f>
        <v>0</v>
      </c>
      <c r="I25" s="296">
        <f>SUM(BW7:CH7)</f>
        <v>0</v>
      </c>
      <c r="J25" s="297">
        <v>0</v>
      </c>
      <c r="K25" s="24"/>
      <c r="L25" s="8"/>
      <c r="M25" s="219" t="s">
        <v>261</v>
      </c>
      <c r="N25" s="335">
        <v>0.8387</v>
      </c>
      <c r="O25" s="336">
        <f>SUM(U7:AF7)</f>
        <v>1197</v>
      </c>
      <c r="P25" s="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</row>
    <row r="26" spans="1:145" customFormat="1" ht="13.8" thickBot="1">
      <c r="A26" s="7" t="s">
        <v>29</v>
      </c>
      <c r="B26" s="252">
        <f>B25</f>
        <v>2040</v>
      </c>
      <c r="C26" s="253">
        <f>B26+C25</f>
        <v>3494</v>
      </c>
      <c r="D26" s="253">
        <f>C26+D25</f>
        <v>4270</v>
      </c>
      <c r="E26" s="253">
        <f>D26+E25</f>
        <v>4684</v>
      </c>
      <c r="F26" s="366">
        <f>E26+F25</f>
        <v>6266</v>
      </c>
      <c r="G26" s="298"/>
      <c r="H26" s="298"/>
      <c r="I26" s="298"/>
      <c r="J26" s="299"/>
      <c r="K26" s="24"/>
      <c r="L26" s="8"/>
      <c r="M26" s="219" t="s">
        <v>262</v>
      </c>
      <c r="N26" s="335">
        <v>0.9677</v>
      </c>
      <c r="O26" s="336">
        <f>SUM(AG7:AR7)</f>
        <v>598</v>
      </c>
      <c r="P26" s="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</row>
    <row r="27" spans="1:145">
      <c r="A27" s="7"/>
      <c r="B27" s="7"/>
      <c r="C27" s="10"/>
      <c r="D27" s="21"/>
      <c r="E27" s="21"/>
      <c r="F27" s="21"/>
      <c r="G27" s="21"/>
      <c r="H27" s="21"/>
      <c r="I27" s="21"/>
      <c r="J27" s="21"/>
      <c r="K27" s="21"/>
      <c r="M27" s="219" t="s">
        <v>263</v>
      </c>
      <c r="N27" s="335">
        <v>1</v>
      </c>
      <c r="O27" s="336">
        <f>SUM(AS7:BJ7)</f>
        <v>1841</v>
      </c>
      <c r="P27" s="3"/>
    </row>
    <row r="28" spans="1:145">
      <c r="A28" s="7"/>
      <c r="B28" s="7"/>
      <c r="C28" s="10"/>
      <c r="D28" s="21"/>
      <c r="E28" s="21"/>
      <c r="F28" s="21"/>
      <c r="G28" s="21"/>
      <c r="H28" s="21"/>
      <c r="I28" s="21"/>
      <c r="J28" s="21"/>
      <c r="K28" s="21"/>
      <c r="L28" s="219"/>
      <c r="M28" s="219"/>
      <c r="P28" s="3"/>
    </row>
    <row r="29" spans="1:145">
      <c r="A29" s="7"/>
      <c r="B29" s="7"/>
      <c r="C29" s="10"/>
      <c r="D29" s="10"/>
      <c r="E29" s="10"/>
      <c r="F29" s="10"/>
      <c r="G29" s="10"/>
      <c r="H29" s="10"/>
      <c r="I29" s="10"/>
      <c r="J29" s="10"/>
      <c r="K29" s="10"/>
      <c r="L29" s="219"/>
      <c r="M29" s="219"/>
      <c r="N29" s="317">
        <f>((O23/O29)*N23)+((O24/O29)*N24)+((O25/O29)*N25)+((O26/O29)*N26)+((O27/O29)*N27)</f>
        <v>0.9172397861474626</v>
      </c>
      <c r="O29" s="316">
        <f>SUM(O23:O27)</f>
        <v>6266</v>
      </c>
      <c r="P29" s="3"/>
    </row>
    <row r="30" spans="1:145">
      <c r="A30" s="7"/>
      <c r="B30" s="7"/>
      <c r="L30" s="219"/>
      <c r="M30" s="219"/>
      <c r="N30" s="315"/>
      <c r="O30" s="315"/>
      <c r="P30" s="3"/>
    </row>
    <row r="31" spans="1:145">
      <c r="N31" s="315"/>
      <c r="O31" s="315"/>
      <c r="P31" s="3"/>
    </row>
    <row r="32" spans="1:145" ht="13.8" thickBot="1">
      <c r="N32" s="1"/>
      <c r="O32" s="314"/>
      <c r="P32" s="314"/>
    </row>
    <row r="33" spans="1:26">
      <c r="A33" s="25" t="s">
        <v>222</v>
      </c>
      <c r="B33" s="31" t="s">
        <v>66</v>
      </c>
      <c r="C33" s="26" t="s">
        <v>67</v>
      </c>
      <c r="D33" s="27" t="s">
        <v>68</v>
      </c>
      <c r="E33" s="27" t="s">
        <v>69</v>
      </c>
      <c r="F33" s="28" t="s">
        <v>70</v>
      </c>
      <c r="H33" s="176" t="s">
        <v>220</v>
      </c>
      <c r="N33" s="337" t="s">
        <v>230</v>
      </c>
      <c r="O33" s="1"/>
    </row>
    <row r="34" spans="1:26">
      <c r="A34" s="25">
        <v>49</v>
      </c>
      <c r="B34" s="300">
        <v>44197</v>
      </c>
      <c r="C34" s="301">
        <f t="shared" ref="C34:C45" si="19">EOMONTH(B34,0)</f>
        <v>44227</v>
      </c>
      <c r="D34" s="258">
        <f>HLOOKUP(B34,$B$6:$CY$12,3)</f>
        <v>4730</v>
      </c>
      <c r="E34" s="258">
        <f>HLOOKUP(B34,$B$6:$CY$12,7)</f>
        <v>1086.8999593811418</v>
      </c>
      <c r="F34" s="29">
        <f>E34</f>
        <v>1086.8999593811418</v>
      </c>
      <c r="G34" s="277">
        <v>189</v>
      </c>
      <c r="H34" s="305">
        <v>2021</v>
      </c>
      <c r="I34" s="306">
        <f>B34</f>
        <v>44197</v>
      </c>
      <c r="J34" s="306">
        <f>C45</f>
        <v>44561</v>
      </c>
      <c r="K34" s="177">
        <f>E46</f>
        <v>14803.669362201123</v>
      </c>
      <c r="N34" s="8" t="s">
        <v>259</v>
      </c>
      <c r="O34" s="32"/>
    </row>
    <row r="35" spans="1:26">
      <c r="A35" s="25">
        <f t="shared" ref="A35:A45" si="20">A34+1</f>
        <v>50</v>
      </c>
      <c r="B35" s="300">
        <f t="shared" ref="B35:B45" si="21">EDATE(B34,1)</f>
        <v>44228</v>
      </c>
      <c r="C35" s="301">
        <f t="shared" si="19"/>
        <v>44255</v>
      </c>
      <c r="D35" s="258">
        <f t="shared" ref="D35:D45" si="22">HLOOKUP(B35,$B$6:$CY$12,3)</f>
        <v>4791</v>
      </c>
      <c r="E35" s="258">
        <f t="shared" ref="E35:E45" si="23">HLOOKUP(B35,$B$6:$CY$12,7)</f>
        <v>1100.9170624513847</v>
      </c>
      <c r="F35" s="29">
        <f t="shared" ref="F35:F45" si="24">F34+E35</f>
        <v>2187.8170218325267</v>
      </c>
      <c r="G35" s="277">
        <v>79</v>
      </c>
      <c r="H35" s="16"/>
      <c r="I35" s="281"/>
      <c r="J35" s="281"/>
      <c r="K35" s="20"/>
      <c r="L35" s="16"/>
      <c r="M35" s="1"/>
      <c r="N35" s="216"/>
      <c r="O35" s="32"/>
      <c r="X35" s="339"/>
      <c r="Y35" s="339"/>
      <c r="Z35" s="339"/>
    </row>
    <row r="36" spans="1:26">
      <c r="A36" s="25">
        <f t="shared" si="20"/>
        <v>51</v>
      </c>
      <c r="B36" s="300">
        <f t="shared" si="21"/>
        <v>44256</v>
      </c>
      <c r="C36" s="301">
        <f t="shared" si="19"/>
        <v>44286</v>
      </c>
      <c r="D36" s="258">
        <f t="shared" si="22"/>
        <v>4846</v>
      </c>
      <c r="E36" s="258">
        <f t="shared" si="23"/>
        <v>1113.5554340720957</v>
      </c>
      <c r="F36" s="29">
        <f t="shared" si="24"/>
        <v>3301.3724559046223</v>
      </c>
      <c r="G36" s="277">
        <v>95</v>
      </c>
      <c r="H36" s="15" t="s">
        <v>192</v>
      </c>
      <c r="K36" s="304">
        <f>SUM(K34)</f>
        <v>14803.669362201123</v>
      </c>
      <c r="L36" s="1"/>
      <c r="M36" s="33"/>
    </row>
    <row r="37" spans="1:26">
      <c r="A37" s="25">
        <f t="shared" si="20"/>
        <v>52</v>
      </c>
      <c r="B37" s="300">
        <f t="shared" si="21"/>
        <v>44287</v>
      </c>
      <c r="C37" s="301">
        <f t="shared" si="19"/>
        <v>44316</v>
      </c>
      <c r="D37" s="258">
        <f t="shared" si="22"/>
        <v>4916</v>
      </c>
      <c r="E37" s="258">
        <f t="shared" si="23"/>
        <v>1129.640634316637</v>
      </c>
      <c r="F37" s="29">
        <f t="shared" si="24"/>
        <v>4431.0130902212595</v>
      </c>
      <c r="G37" s="277">
        <v>81</v>
      </c>
      <c r="K37" s="3"/>
      <c r="L37" s="7"/>
      <c r="M37" s="1"/>
    </row>
    <row r="38" spans="1:26">
      <c r="A38" s="25">
        <f t="shared" si="20"/>
        <v>53</v>
      </c>
      <c r="B38" s="300">
        <f t="shared" si="21"/>
        <v>44317</v>
      </c>
      <c r="C38" s="301">
        <f t="shared" si="19"/>
        <v>44347</v>
      </c>
      <c r="D38" s="258">
        <f t="shared" si="22"/>
        <v>5003</v>
      </c>
      <c r="E38" s="258">
        <f>HLOOKUP(B38,$B$6:$CY$12,7)</f>
        <v>1149.6322403348527</v>
      </c>
      <c r="F38" s="29">
        <f t="shared" si="24"/>
        <v>5580.6453305561117</v>
      </c>
      <c r="G38" s="277">
        <v>75</v>
      </c>
      <c r="K38" s="3"/>
      <c r="L38" s="7"/>
      <c r="M38" s="1"/>
      <c r="O38" s="32"/>
    </row>
    <row r="39" spans="1:26">
      <c r="A39" s="25">
        <f t="shared" si="20"/>
        <v>54</v>
      </c>
      <c r="B39" s="300">
        <f t="shared" si="21"/>
        <v>44348</v>
      </c>
      <c r="C39" s="301">
        <f t="shared" si="19"/>
        <v>44377</v>
      </c>
      <c r="D39" s="258">
        <f t="shared" si="22"/>
        <v>5133</v>
      </c>
      <c r="E39" s="258">
        <f t="shared" si="23"/>
        <v>1179.5047550747147</v>
      </c>
      <c r="F39" s="29">
        <f t="shared" si="24"/>
        <v>6760.1500856308267</v>
      </c>
      <c r="G39" s="277">
        <v>84</v>
      </c>
      <c r="H39" s="16"/>
      <c r="I39" s="5"/>
      <c r="J39" s="1"/>
      <c r="K39" s="3"/>
      <c r="L39" s="4"/>
      <c r="M39" s="3"/>
      <c r="N39" s="217"/>
      <c r="O39" s="33"/>
    </row>
    <row r="40" spans="1:26">
      <c r="A40" s="25">
        <f t="shared" si="20"/>
        <v>55</v>
      </c>
      <c r="B40" s="300">
        <f t="shared" si="21"/>
        <v>44378</v>
      </c>
      <c r="C40" s="301">
        <f t="shared" si="19"/>
        <v>44408</v>
      </c>
      <c r="D40" s="258">
        <f t="shared" si="22"/>
        <v>5319</v>
      </c>
      <c r="E40" s="258">
        <f t="shared" si="23"/>
        <v>1222.2454300102099</v>
      </c>
      <c r="F40" s="29">
        <f t="shared" si="24"/>
        <v>7982.3955156410366</v>
      </c>
      <c r="G40" s="277">
        <v>135</v>
      </c>
      <c r="H40" s="16"/>
      <c r="I40" s="5"/>
      <c r="J40" s="1"/>
      <c r="K40" s="3" t="s">
        <v>204</v>
      </c>
      <c r="L40" s="4"/>
      <c r="M40" s="3"/>
      <c r="N40" s="217"/>
      <c r="O40" s="33"/>
    </row>
    <row r="41" spans="1:26">
      <c r="A41" s="25">
        <f t="shared" si="20"/>
        <v>56</v>
      </c>
      <c r="B41" s="300">
        <f t="shared" si="21"/>
        <v>44409</v>
      </c>
      <c r="C41" s="301">
        <f t="shared" si="19"/>
        <v>44439</v>
      </c>
      <c r="D41" s="258">
        <f t="shared" si="22"/>
        <v>5553</v>
      </c>
      <c r="E41" s="258">
        <f t="shared" si="23"/>
        <v>1276.0159565419619</v>
      </c>
      <c r="F41" s="29">
        <f t="shared" si="24"/>
        <v>9258.4114721829992</v>
      </c>
      <c r="G41" s="277">
        <v>179</v>
      </c>
      <c r="H41" s="16"/>
      <c r="I41" s="5"/>
      <c r="J41" s="1"/>
      <c r="K41" s="3"/>
      <c r="L41" s="4"/>
      <c r="M41" s="3"/>
      <c r="N41" s="5"/>
      <c r="O41" s="375"/>
    </row>
    <row r="42" spans="1:26">
      <c r="A42" s="25">
        <f t="shared" si="20"/>
        <v>57</v>
      </c>
      <c r="B42" s="300">
        <f t="shared" si="21"/>
        <v>44440</v>
      </c>
      <c r="C42" s="301">
        <f t="shared" si="19"/>
        <v>44469</v>
      </c>
      <c r="D42" s="258">
        <f t="shared" si="22"/>
        <v>5706</v>
      </c>
      <c r="E42" s="258">
        <f t="shared" si="23"/>
        <v>1311.1736085050309</v>
      </c>
      <c r="F42" s="29">
        <f t="shared" si="24"/>
        <v>10569.58508068803</v>
      </c>
      <c r="G42" s="277">
        <v>147</v>
      </c>
      <c r="H42" s="16"/>
      <c r="I42" s="5"/>
      <c r="J42" s="1"/>
      <c r="K42" s="3"/>
      <c r="L42" s="4"/>
      <c r="M42" s="3"/>
      <c r="N42" s="5"/>
      <c r="O42" s="33"/>
    </row>
    <row r="43" spans="1:26">
      <c r="A43" s="25">
        <f t="shared" si="20"/>
        <v>58</v>
      </c>
      <c r="B43" s="300">
        <f t="shared" si="21"/>
        <v>44470</v>
      </c>
      <c r="C43" s="301">
        <f t="shared" si="19"/>
        <v>44500</v>
      </c>
      <c r="D43" s="258">
        <f t="shared" si="22"/>
        <v>5971</v>
      </c>
      <c r="E43" s="258">
        <f t="shared" si="23"/>
        <v>1372.0675808593653</v>
      </c>
      <c r="F43" s="29">
        <f t="shared" si="24"/>
        <v>11941.652661547396</v>
      </c>
      <c r="G43" s="277">
        <v>99</v>
      </c>
      <c r="H43" s="16"/>
      <c r="I43" s="5"/>
      <c r="J43" s="1"/>
      <c r="K43" s="3"/>
      <c r="L43" s="4"/>
      <c r="M43" s="3"/>
      <c r="N43" s="5"/>
      <c r="O43" s="33"/>
    </row>
    <row r="44" spans="1:26">
      <c r="A44" s="25">
        <f t="shared" si="20"/>
        <v>59</v>
      </c>
      <c r="B44" s="300">
        <f t="shared" si="21"/>
        <v>44501</v>
      </c>
      <c r="C44" s="301">
        <f t="shared" si="19"/>
        <v>44530</v>
      </c>
      <c r="D44" s="258">
        <f t="shared" si="22"/>
        <v>6189</v>
      </c>
      <c r="E44" s="258">
        <f t="shared" si="23"/>
        <v>1422.1614901923651</v>
      </c>
      <c r="F44" s="29">
        <f t="shared" si="24"/>
        <v>13363.814151739762</v>
      </c>
      <c r="G44" s="277">
        <v>124</v>
      </c>
      <c r="H44" s="16"/>
      <c r="I44" s="5"/>
      <c r="J44" s="1"/>
      <c r="K44" s="3"/>
      <c r="L44" s="4"/>
      <c r="M44" s="3"/>
      <c r="N44" s="5"/>
      <c r="O44" s="33"/>
    </row>
    <row r="45" spans="1:26">
      <c r="A45" s="25">
        <f t="shared" si="20"/>
        <v>60</v>
      </c>
      <c r="B45" s="300">
        <f t="shared" si="21"/>
        <v>44531</v>
      </c>
      <c r="C45" s="301">
        <f t="shared" si="19"/>
        <v>44561</v>
      </c>
      <c r="D45" s="258">
        <f t="shared" si="22"/>
        <v>6266</v>
      </c>
      <c r="E45" s="258">
        <f t="shared" si="23"/>
        <v>1439.8552104613602</v>
      </c>
      <c r="F45" s="29">
        <f t="shared" si="24"/>
        <v>14803.669362201123</v>
      </c>
      <c r="G45" s="277">
        <v>129</v>
      </c>
      <c r="H45" s="1"/>
      <c r="I45" s="1"/>
      <c r="J45" s="1"/>
      <c r="K45" s="1"/>
      <c r="L45" s="1"/>
      <c r="M45" s="1"/>
      <c r="N45" s="1"/>
      <c r="O45" s="1"/>
    </row>
    <row r="46" spans="1:26" ht="13.8" thickBot="1">
      <c r="B46" s="6"/>
      <c r="C46" s="2"/>
      <c r="D46" s="2"/>
      <c r="E46" s="30">
        <f>SUM(E34:E45)</f>
        <v>14803.669362201123</v>
      </c>
      <c r="F46" s="11"/>
      <c r="G46" s="277"/>
      <c r="H46" s="1"/>
      <c r="I46" s="1"/>
      <c r="J46" s="1"/>
      <c r="K46" s="372"/>
      <c r="L46" s="1"/>
      <c r="M46" s="1"/>
      <c r="N46" s="1"/>
      <c r="O46" s="1"/>
      <c r="P46" s="400"/>
    </row>
    <row r="47" spans="1:26">
      <c r="G47" s="277"/>
      <c r="H47" s="1"/>
      <c r="I47" s="1"/>
      <c r="J47" s="1"/>
      <c r="K47" s="1"/>
      <c r="L47" s="1"/>
      <c r="M47" s="1"/>
      <c r="N47" s="1"/>
      <c r="O47" s="1"/>
    </row>
    <row r="48" spans="1:26">
      <c r="G48" s="277"/>
      <c r="H48" s="1"/>
      <c r="I48" s="1"/>
      <c r="J48" s="1"/>
      <c r="K48" s="1"/>
      <c r="L48" s="1"/>
      <c r="M48" s="1"/>
      <c r="N48" s="1"/>
      <c r="O48" s="1"/>
    </row>
    <row r="49" spans="2:15">
      <c r="B49" s="8" t="s">
        <v>71</v>
      </c>
      <c r="D49" s="13" t="str">
        <f>IF(E46=F45,"CORRECT","FALSE")</f>
        <v>CORRECT</v>
      </c>
      <c r="G49" s="277"/>
      <c r="H49" s="1"/>
      <c r="I49" s="1"/>
      <c r="J49" s="1"/>
      <c r="K49" s="1"/>
      <c r="L49" s="1"/>
      <c r="M49" s="1"/>
      <c r="N49" s="1"/>
      <c r="O49" s="1"/>
    </row>
    <row r="50" spans="2:15">
      <c r="G50" s="277"/>
      <c r="H50" s="1"/>
      <c r="I50" s="1"/>
      <c r="J50" s="1"/>
      <c r="K50" s="1"/>
      <c r="L50" s="1"/>
      <c r="M50" s="1"/>
      <c r="N50" s="1"/>
      <c r="O50" s="1"/>
    </row>
    <row r="51" spans="2:15">
      <c r="G51" s="277"/>
      <c r="H51" s="1"/>
      <c r="I51" s="1"/>
      <c r="J51" s="1"/>
      <c r="K51" s="1"/>
      <c r="L51" s="1"/>
      <c r="M51" s="1"/>
      <c r="N51" s="1"/>
      <c r="O51" s="1"/>
    </row>
    <row r="52" spans="2:15">
      <c r="G52" s="277"/>
      <c r="H52" s="1"/>
      <c r="I52" s="1"/>
      <c r="J52" s="1"/>
      <c r="K52" s="1"/>
      <c r="L52" s="1"/>
      <c r="M52" s="1"/>
      <c r="N52" s="1"/>
      <c r="O52" s="1"/>
    </row>
    <row r="53" spans="2:15">
      <c r="G53" s="277"/>
      <c r="H53" s="1"/>
      <c r="I53" s="1"/>
      <c r="J53" s="1"/>
      <c r="K53" s="1"/>
      <c r="L53" s="1"/>
      <c r="M53" s="1"/>
      <c r="N53" s="1"/>
      <c r="O53" s="1"/>
    </row>
    <row r="54" spans="2:15">
      <c r="G54" s="277"/>
      <c r="H54" s="1"/>
      <c r="I54" s="1"/>
      <c r="J54" s="1"/>
      <c r="K54" s="1"/>
      <c r="L54" s="1"/>
      <c r="M54" s="1"/>
      <c r="N54" s="1"/>
      <c r="O54" s="1"/>
    </row>
    <row r="55" spans="2:15">
      <c r="G55" s="277"/>
      <c r="H55" s="1"/>
      <c r="I55" s="1"/>
      <c r="J55" s="1"/>
      <c r="K55" s="1"/>
      <c r="L55" s="1"/>
      <c r="M55" s="1"/>
      <c r="N55" s="1"/>
      <c r="O55" s="1"/>
    </row>
    <row r="56" spans="2:15">
      <c r="G56" s="277"/>
      <c r="H56" s="1"/>
      <c r="I56" s="1"/>
      <c r="J56" s="1"/>
      <c r="K56" s="1"/>
      <c r="L56" s="1"/>
      <c r="M56" s="1"/>
      <c r="N56" s="1"/>
      <c r="O56" s="1"/>
    </row>
    <row r="57" spans="2:15">
      <c r="G57" s="277"/>
      <c r="H57" s="1"/>
      <c r="I57" s="1"/>
      <c r="J57" s="1"/>
      <c r="K57" s="1"/>
      <c r="L57" s="1"/>
      <c r="M57" s="1"/>
      <c r="N57" s="1"/>
      <c r="O57" s="1"/>
    </row>
    <row r="60" spans="2:15">
      <c r="I60" s="20"/>
    </row>
    <row r="61" spans="2:15">
      <c r="E61" s="19"/>
      <c r="I61" s="9"/>
    </row>
    <row r="65" spans="8:11">
      <c r="I65" s="194"/>
      <c r="J65" s="194"/>
      <c r="K65" s="194"/>
    </row>
    <row r="73" spans="8:11">
      <c r="H73" s="16"/>
      <c r="I73" s="5"/>
      <c r="J73" s="1"/>
      <c r="K73" s="3"/>
    </row>
    <row r="74" spans="8:11">
      <c r="H74" s="16"/>
      <c r="I74" s="5"/>
      <c r="J74" s="1"/>
      <c r="K74" s="3"/>
    </row>
    <row r="75" spans="8:11">
      <c r="H75" s="16"/>
      <c r="I75" s="5"/>
      <c r="J75" s="1"/>
      <c r="K75" s="3"/>
    </row>
    <row r="76" spans="8:11">
      <c r="H76" s="1"/>
      <c r="I76" s="1"/>
      <c r="J76" s="1"/>
      <c r="K76" s="1"/>
    </row>
  </sheetData>
  <phoneticPr fontId="8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46"/>
  <sheetViews>
    <sheetView tabSelected="1" topLeftCell="A22" zoomScale="85" zoomScaleNormal="85" workbookViewId="0">
      <selection activeCell="D58" sqref="D58"/>
    </sheetView>
  </sheetViews>
  <sheetFormatPr defaultColWidth="8.77734375" defaultRowHeight="13.2"/>
  <cols>
    <col min="1" max="1" width="8.77734375" style="8"/>
    <col min="2" max="2" width="9.44140625" style="8" bestFit="1" customWidth="1"/>
    <col min="3" max="3" width="13.44140625" style="8" bestFit="1" customWidth="1"/>
    <col min="4" max="4" width="23.44140625" style="8" bestFit="1" customWidth="1"/>
    <col min="5" max="5" width="26.44140625" style="8" bestFit="1" customWidth="1"/>
    <col min="6" max="6" width="8.44140625" style="8" bestFit="1" customWidth="1"/>
    <col min="7" max="7" width="32.109375" style="8" customWidth="1"/>
    <col min="8" max="16384" width="8.77734375" style="8"/>
  </cols>
  <sheetData>
    <row r="2" spans="1:10" s="123" customFormat="1">
      <c r="A2" s="121"/>
      <c r="B2" s="412" t="s">
        <v>110</v>
      </c>
      <c r="C2" s="412"/>
      <c r="D2" s="412"/>
      <c r="E2" s="412"/>
      <c r="F2" s="412"/>
      <c r="G2" s="412"/>
      <c r="H2" s="412"/>
      <c r="I2" s="122"/>
      <c r="J2" s="122"/>
    </row>
    <row r="5" spans="1:10" ht="13.8">
      <c r="B5" s="413" t="s">
        <v>111</v>
      </c>
      <c r="C5" s="413"/>
      <c r="D5" s="413"/>
      <c r="E5" s="413"/>
      <c r="F5" s="413"/>
      <c r="G5" s="413"/>
      <c r="H5" s="413"/>
    </row>
    <row r="6" spans="1:10" ht="13.8" thickBot="1"/>
    <row r="7" spans="1:10" ht="16.5" customHeight="1" thickTop="1" thickBot="1">
      <c r="B7" s="408" t="s">
        <v>114</v>
      </c>
      <c r="C7" s="124" t="s">
        <v>115</v>
      </c>
      <c r="D7" s="415" t="s">
        <v>117</v>
      </c>
      <c r="E7" s="124" t="s">
        <v>118</v>
      </c>
      <c r="F7" s="128" t="s">
        <v>120</v>
      </c>
      <c r="G7" s="178" t="s">
        <v>122</v>
      </c>
    </row>
    <row r="8" spans="1:10" ht="52.8">
      <c r="B8" s="414"/>
      <c r="C8" s="125"/>
      <c r="D8" s="416"/>
      <c r="E8" s="125"/>
      <c r="F8" s="129" t="s">
        <v>121</v>
      </c>
      <c r="G8" s="132" t="s">
        <v>119</v>
      </c>
    </row>
    <row r="9" spans="1:10" ht="16.2" thickBot="1">
      <c r="B9" s="409"/>
      <c r="C9" s="126" t="s">
        <v>116</v>
      </c>
      <c r="D9" s="417"/>
      <c r="E9" s="127" t="s">
        <v>119</v>
      </c>
      <c r="F9" s="130"/>
      <c r="G9" s="133"/>
    </row>
    <row r="10" spans="1:10" ht="14.4" thickTop="1" thickBot="1">
      <c r="B10" s="134"/>
      <c r="C10" s="135" t="s">
        <v>123</v>
      </c>
      <c r="D10" s="135" t="s">
        <v>124</v>
      </c>
      <c r="E10" s="135" t="s">
        <v>125</v>
      </c>
      <c r="F10" s="136" t="s">
        <v>126</v>
      </c>
      <c r="G10" s="137" t="s">
        <v>127</v>
      </c>
      <c r="J10" s="8" t="str">
        <f>'GS VER 2021'!G11</f>
        <v>20220420 BUS_Tabulation 2021 | sheet Tabulation | cell AB119</v>
      </c>
    </row>
    <row r="11" spans="1:10" ht="13.8" thickBot="1">
      <c r="B11" s="138" t="s">
        <v>128</v>
      </c>
      <c r="C11" s="139">
        <v>2.8</v>
      </c>
      <c r="D11" s="290">
        <f>'GS VER 2021'!E11</f>
        <v>6.07</v>
      </c>
      <c r="E11" s="213">
        <f>C11*D11</f>
        <v>16.995999999999999</v>
      </c>
      <c r="F11" s="291">
        <v>0.82799999999999996</v>
      </c>
      <c r="G11" s="142">
        <f>E11*F11</f>
        <v>14.072687999999998</v>
      </c>
      <c r="J11" s="34" t="s">
        <v>256</v>
      </c>
    </row>
    <row r="12" spans="1:10" ht="13.8" thickBot="1">
      <c r="B12" s="418" t="s">
        <v>129</v>
      </c>
      <c r="C12" s="419"/>
      <c r="D12" s="419"/>
      <c r="E12" s="419"/>
      <c r="F12" s="420"/>
      <c r="G12" s="144">
        <f>SUM(G11:G11)</f>
        <v>14.072687999999998</v>
      </c>
      <c r="J12" s="34"/>
    </row>
    <row r="13" spans="1:10" ht="13.8" thickTop="1"/>
    <row r="15" spans="1:10" ht="13.8">
      <c r="B15" s="413" t="s">
        <v>112</v>
      </c>
      <c r="C15" s="413"/>
      <c r="D15" s="413"/>
      <c r="E15" s="413"/>
      <c r="F15" s="413"/>
      <c r="G15" s="413"/>
      <c r="H15" s="413"/>
    </row>
    <row r="16" spans="1:10" ht="13.8" thickBot="1"/>
    <row r="17" spans="2:8" ht="40.200000000000003" thickTop="1">
      <c r="C17" s="145" t="s">
        <v>130</v>
      </c>
      <c r="D17" s="423" t="s">
        <v>131</v>
      </c>
      <c r="E17" s="149" t="s">
        <v>132</v>
      </c>
      <c r="F17" s="425" t="s">
        <v>229</v>
      </c>
      <c r="G17" s="426"/>
    </row>
    <row r="18" spans="2:8" ht="40.5" customHeight="1" thickBot="1">
      <c r="C18" s="146" t="s">
        <v>119</v>
      </c>
      <c r="D18" s="424"/>
      <c r="E18" s="148" t="s">
        <v>119</v>
      </c>
      <c r="F18" s="427" t="s">
        <v>134</v>
      </c>
      <c r="G18" s="428"/>
      <c r="H18" s="147"/>
    </row>
    <row r="19" spans="2:8" ht="14.4" thickTop="1" thickBot="1">
      <c r="C19" s="164">
        <f>G12</f>
        <v>14.072687999999998</v>
      </c>
      <c r="D19" s="150">
        <v>0.55000000000000004</v>
      </c>
      <c r="E19" s="151">
        <v>0.45</v>
      </c>
      <c r="F19" s="429">
        <f>C19*E19</f>
        <v>6.3327095999999994</v>
      </c>
      <c r="G19" s="430"/>
      <c r="H19" s="147"/>
    </row>
    <row r="20" spans="2:8" ht="13.8" thickTop="1"/>
    <row r="22" spans="2:8" ht="13.8">
      <c r="B22" s="413" t="s">
        <v>113</v>
      </c>
      <c r="C22" s="413"/>
      <c r="D22" s="413"/>
      <c r="E22" s="413"/>
      <c r="F22" s="413"/>
      <c r="G22" s="413"/>
      <c r="H22" s="413"/>
    </row>
    <row r="23" spans="2:8" ht="13.8" thickBot="1"/>
    <row r="24" spans="2:8" ht="16.2" thickTop="1">
      <c r="D24" s="408" t="s">
        <v>114</v>
      </c>
      <c r="E24" s="410" t="s">
        <v>135</v>
      </c>
      <c r="F24" s="159" t="s">
        <v>136</v>
      </c>
      <c r="G24" s="157" t="s">
        <v>138</v>
      </c>
    </row>
    <row r="25" spans="2:8" ht="16.2" thickBot="1">
      <c r="D25" s="409"/>
      <c r="E25" s="411"/>
      <c r="F25" s="160" t="s">
        <v>137</v>
      </c>
      <c r="G25" s="158" t="s">
        <v>137</v>
      </c>
    </row>
    <row r="26" spans="2:8" ht="14.4" thickTop="1" thickBot="1">
      <c r="D26" s="138" t="s">
        <v>191</v>
      </c>
      <c r="E26" s="213">
        <v>0.2</v>
      </c>
      <c r="F26" s="139">
        <v>0.13</v>
      </c>
      <c r="G26" s="156">
        <f>E26*F26</f>
        <v>2.6000000000000002E-2</v>
      </c>
    </row>
    <row r="28" spans="2:8" ht="13.8" thickBot="1"/>
    <row r="29" spans="2:8" ht="16.2" thickTop="1">
      <c r="D29" s="408" t="s">
        <v>114</v>
      </c>
      <c r="E29" s="421" t="s">
        <v>139</v>
      </c>
      <c r="F29" s="415" t="s">
        <v>140</v>
      </c>
      <c r="G29" s="157" t="s">
        <v>141</v>
      </c>
    </row>
    <row r="30" spans="2:8" ht="16.2" thickBot="1">
      <c r="D30" s="409"/>
      <c r="E30" s="422"/>
      <c r="F30" s="417"/>
      <c r="G30" s="158" t="s">
        <v>137</v>
      </c>
    </row>
    <row r="31" spans="2:8" ht="14.4" thickTop="1" thickBot="1">
      <c r="D31" s="138" t="s">
        <v>191</v>
      </c>
      <c r="E31" s="213">
        <f>D11</f>
        <v>6.07</v>
      </c>
      <c r="F31" s="140">
        <f>E31/(E31)</f>
        <v>1</v>
      </c>
      <c r="G31" s="141">
        <f>F31*G26</f>
        <v>2.6000000000000002E-2</v>
      </c>
    </row>
    <row r="32" spans="2:8" ht="13.8" thickBot="1">
      <c r="D32" s="154"/>
      <c r="E32" s="155"/>
      <c r="F32" s="155"/>
      <c r="G32" s="143">
        <f>SUM(G31)</f>
        <v>2.6000000000000002E-2</v>
      </c>
    </row>
    <row r="33" spans="2:10" ht="13.8" thickTop="1"/>
    <row r="35" spans="2:10" ht="13.8">
      <c r="B35" s="413" t="s">
        <v>264</v>
      </c>
      <c r="C35" s="413"/>
      <c r="D35" s="413"/>
      <c r="E35" s="413"/>
      <c r="F35" s="413"/>
      <c r="G35" s="413"/>
      <c r="H35" s="413"/>
    </row>
    <row r="36" spans="2:10" ht="13.8" thickBot="1"/>
    <row r="37" spans="2:10" ht="16.2" thickTop="1">
      <c r="C37" s="191" t="s">
        <v>133</v>
      </c>
      <c r="D37" s="152" t="s">
        <v>142</v>
      </c>
      <c r="E37" s="421" t="s">
        <v>143</v>
      </c>
      <c r="F37" s="124" t="s">
        <v>144</v>
      </c>
      <c r="G37" s="131" t="s">
        <v>146</v>
      </c>
    </row>
    <row r="38" spans="2:10" ht="16.2" thickBot="1">
      <c r="C38" s="192" t="s">
        <v>119</v>
      </c>
      <c r="D38" s="127" t="s">
        <v>137</v>
      </c>
      <c r="E38" s="422"/>
      <c r="F38" s="127" t="s">
        <v>145</v>
      </c>
      <c r="G38" s="153" t="s">
        <v>147</v>
      </c>
    </row>
    <row r="39" spans="2:10" ht="14.4" thickTop="1" thickBot="1">
      <c r="C39" s="161">
        <f>F19</f>
        <v>6.3327095999999994</v>
      </c>
      <c r="D39" s="162">
        <f>G32</f>
        <v>2.6000000000000002E-2</v>
      </c>
      <c r="E39" s="292">
        <v>1.44E-2</v>
      </c>
      <c r="F39" s="155">
        <v>0.67</v>
      </c>
      <c r="G39" s="143">
        <f>(C39*365)*D39*E39*(F39/1000)*28</f>
        <v>1.6234955835710978E-2</v>
      </c>
      <c r="J39" s="8" t="s">
        <v>257</v>
      </c>
    </row>
    <row r="40" spans="2:10" ht="13.8" thickTop="1"/>
    <row r="41" spans="2:10">
      <c r="C41" s="8" t="s">
        <v>148</v>
      </c>
    </row>
    <row r="42" spans="2:10">
      <c r="C42" s="8" t="s">
        <v>149</v>
      </c>
    </row>
    <row r="44" spans="2:10" ht="13.8" thickBot="1">
      <c r="C44" s="8" t="s">
        <v>150</v>
      </c>
      <c r="E44" s="8" t="s">
        <v>265</v>
      </c>
    </row>
    <row r="45" spans="2:10" ht="14.4" thickTop="1" thickBot="1">
      <c r="C45" s="163">
        <f>G39</f>
        <v>1.6234955835710978E-2</v>
      </c>
      <c r="E45" s="193">
        <f>'GS VER 2021'!E82</f>
        <v>2.777537621476974</v>
      </c>
      <c r="G45" s="236">
        <f>C45/E45</f>
        <v>5.8450894454772258E-3</v>
      </c>
      <c r="H45" s="13"/>
    </row>
    <row r="46" spans="2:10" ht="13.8" thickTop="1"/>
  </sheetData>
  <mergeCells count="18">
    <mergeCell ref="D29:D30"/>
    <mergeCell ref="E29:E30"/>
    <mergeCell ref="F29:F30"/>
    <mergeCell ref="B35:H35"/>
    <mergeCell ref="E37:E38"/>
    <mergeCell ref="D17:D18"/>
    <mergeCell ref="F17:G17"/>
    <mergeCell ref="F18:G18"/>
    <mergeCell ref="F19:G19"/>
    <mergeCell ref="B22:H22"/>
    <mergeCell ref="D24:D25"/>
    <mergeCell ref="E24:E25"/>
    <mergeCell ref="B2:H2"/>
    <mergeCell ref="B5:H5"/>
    <mergeCell ref="B7:B9"/>
    <mergeCell ref="D7:D9"/>
    <mergeCell ref="B12:F12"/>
    <mergeCell ref="B15:H15"/>
  </mergeCells>
  <hyperlinks>
    <hyperlink ref="C9" location="_ftn1" display="_ftn1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25"/>
  <sheetViews>
    <sheetView zoomScale="85" zoomScaleNormal="85" workbookViewId="0">
      <selection activeCell="C8" sqref="C8"/>
    </sheetView>
  </sheetViews>
  <sheetFormatPr defaultColWidth="8.77734375" defaultRowHeight="13.2"/>
  <cols>
    <col min="1" max="1" width="8.77734375" customWidth="1"/>
    <col min="2" max="2" width="32.109375" bestFit="1" customWidth="1"/>
    <col min="3" max="3" width="12.44140625" bestFit="1" customWidth="1"/>
    <col min="4" max="4" width="16.44140625" customWidth="1"/>
    <col min="5" max="7" width="8.77734375" customWidth="1"/>
    <col min="8" max="8" width="10.44140625" bestFit="1" customWidth="1"/>
  </cols>
  <sheetData>
    <row r="1" spans="2:11" ht="13.8" thickBot="1">
      <c r="E1" s="201" t="s">
        <v>187</v>
      </c>
      <c r="F1" s="200"/>
      <c r="G1" s="200"/>
      <c r="H1" s="200"/>
    </row>
    <row r="2" spans="2:11" ht="13.8" thickBot="1">
      <c r="B2" t="s">
        <v>161</v>
      </c>
      <c r="C2" s="209">
        <v>4.26</v>
      </c>
      <c r="D2" t="s">
        <v>162</v>
      </c>
      <c r="E2" s="338" t="s">
        <v>254</v>
      </c>
      <c r="F2" s="338"/>
      <c r="G2" s="338"/>
      <c r="H2" s="338"/>
      <c r="I2" s="339"/>
      <c r="J2" s="339"/>
      <c r="K2" s="339"/>
    </row>
    <row r="3" spans="2:11" ht="13.8" thickBot="1">
      <c r="B3" t="s">
        <v>221</v>
      </c>
      <c r="C3" s="202">
        <f>'GS VER 2021'!E3</f>
        <v>6266</v>
      </c>
      <c r="D3" t="s">
        <v>163</v>
      </c>
      <c r="E3" s="338" t="s">
        <v>255</v>
      </c>
      <c r="F3" s="338"/>
      <c r="G3" s="338"/>
      <c r="H3" s="338"/>
      <c r="I3" s="339"/>
      <c r="J3" s="339"/>
      <c r="K3" s="339"/>
    </row>
    <row r="4" spans="2:11">
      <c r="B4" t="s">
        <v>218</v>
      </c>
      <c r="C4" s="207">
        <f>C2*C3</f>
        <v>26693.16</v>
      </c>
      <c r="D4" t="s">
        <v>162</v>
      </c>
      <c r="E4" s="200"/>
      <c r="F4" s="200"/>
      <c r="G4" s="200"/>
      <c r="H4" s="200"/>
    </row>
    <row r="5" spans="2:11">
      <c r="B5" t="s">
        <v>165</v>
      </c>
      <c r="C5" s="208">
        <f>C20</f>
        <v>1.3583811678832114</v>
      </c>
      <c r="D5" t="s">
        <v>164</v>
      </c>
      <c r="E5" s="200" t="s">
        <v>186</v>
      </c>
      <c r="F5" s="200"/>
      <c r="G5" s="200"/>
      <c r="H5" s="200"/>
    </row>
    <row r="6" spans="2:11">
      <c r="B6" t="s">
        <v>166</v>
      </c>
      <c r="C6" s="207">
        <f>C3*C5</f>
        <v>8511.6163979562025</v>
      </c>
      <c r="D6" t="s">
        <v>164</v>
      </c>
      <c r="E6" s="180" t="s">
        <v>167</v>
      </c>
      <c r="F6" s="181">
        <v>45000</v>
      </c>
      <c r="G6" t="s">
        <v>164</v>
      </c>
    </row>
    <row r="7" spans="2:11">
      <c r="B7" t="s">
        <v>168</v>
      </c>
      <c r="C7" s="208">
        <f>C5</f>
        <v>1.3583811678832114</v>
      </c>
      <c r="D7" t="s">
        <v>164</v>
      </c>
      <c r="E7" s="180" t="s">
        <v>167</v>
      </c>
      <c r="F7">
        <f>F6*1%</f>
        <v>450</v>
      </c>
      <c r="G7" t="s">
        <v>164</v>
      </c>
    </row>
    <row r="9" spans="2:11">
      <c r="B9" t="s">
        <v>169</v>
      </c>
    </row>
    <row r="10" spans="2:11" ht="13.8" thickBot="1"/>
    <row r="11" spans="2:11" ht="19.5" customHeight="1">
      <c r="B11" s="205"/>
      <c r="C11" s="206"/>
      <c r="D11" s="206"/>
      <c r="E11" s="210"/>
      <c r="F11" s="211"/>
    </row>
    <row r="12" spans="2:11" ht="19.5" customHeight="1" thickBot="1">
      <c r="B12" s="182"/>
      <c r="C12" s="183"/>
      <c r="D12" s="183"/>
      <c r="E12" s="2"/>
      <c r="F12" s="11"/>
    </row>
    <row r="13" spans="2:11" ht="13.8" thickBot="1">
      <c r="B13" s="184" t="s">
        <v>170</v>
      </c>
      <c r="C13" s="185" t="s">
        <v>171</v>
      </c>
      <c r="D13" s="434" t="s">
        <v>172</v>
      </c>
      <c r="E13" s="435"/>
      <c r="F13" s="436"/>
    </row>
    <row r="14" spans="2:11" ht="66.75" customHeight="1" thickBot="1">
      <c r="B14" s="186" t="s">
        <v>173</v>
      </c>
      <c r="C14" s="212">
        <v>2.74</v>
      </c>
      <c r="D14" s="431" t="s">
        <v>194</v>
      </c>
      <c r="E14" s="432"/>
      <c r="F14" s="433"/>
    </row>
    <row r="15" spans="2:11" ht="53.55" customHeight="1" thickBot="1">
      <c r="B15" s="186" t="s">
        <v>174</v>
      </c>
      <c r="C15" s="185">
        <v>0.5</v>
      </c>
      <c r="D15" s="431" t="s">
        <v>189</v>
      </c>
      <c r="E15" s="432"/>
      <c r="F15" s="433"/>
    </row>
    <row r="16" spans="2:11" ht="40.5" customHeight="1" thickBot="1">
      <c r="B16" s="186" t="s">
        <v>175</v>
      </c>
      <c r="C16" s="185">
        <v>21</v>
      </c>
      <c r="D16" s="431" t="s">
        <v>176</v>
      </c>
      <c r="E16" s="432"/>
      <c r="F16" s="433"/>
    </row>
    <row r="17" spans="2:8" ht="135" customHeight="1" thickBot="1">
      <c r="B17" s="186" t="s">
        <v>177</v>
      </c>
      <c r="C17" s="189">
        <f>(40*31.9)/1000</f>
        <v>1.276</v>
      </c>
      <c r="D17" s="443" t="s">
        <v>260</v>
      </c>
      <c r="E17" s="444"/>
      <c r="F17" s="445"/>
      <c r="H17" s="344">
        <f>4.26*7.5</f>
        <v>31.95</v>
      </c>
    </row>
    <row r="18" spans="2:8" ht="27" thickBot="1">
      <c r="B18" s="187" t="s">
        <v>178</v>
      </c>
      <c r="C18" s="189">
        <f>C15*C16*_ftnref2</f>
        <v>13.398</v>
      </c>
      <c r="D18" s="437" t="s">
        <v>179</v>
      </c>
      <c r="E18" s="438"/>
      <c r="F18" s="439"/>
    </row>
    <row r="19" spans="2:8" ht="40.5" customHeight="1" thickBot="1">
      <c r="B19" s="188" t="s">
        <v>180</v>
      </c>
      <c r="C19" s="189">
        <f>C18*0.2778</f>
        <v>3.7219643999999996</v>
      </c>
      <c r="D19" s="431" t="s">
        <v>181</v>
      </c>
      <c r="E19" s="432"/>
      <c r="F19" s="433"/>
    </row>
    <row r="20" spans="2:8" ht="40.5" customHeight="1" thickBot="1">
      <c r="B20" s="188" t="s">
        <v>182</v>
      </c>
      <c r="C20" s="189">
        <f>C19/C14</f>
        <v>1.3583811678832114</v>
      </c>
      <c r="D20" s="440" t="s">
        <v>190</v>
      </c>
      <c r="E20" s="441"/>
      <c r="F20" s="442"/>
    </row>
    <row r="23" spans="2:8" ht="52.8">
      <c r="B23" s="190" t="s">
        <v>183</v>
      </c>
    </row>
    <row r="24" spans="2:8" ht="92.4">
      <c r="B24" s="190" t="s">
        <v>184</v>
      </c>
    </row>
    <row r="25" spans="2:8">
      <c r="B25" s="190" t="s">
        <v>185</v>
      </c>
    </row>
  </sheetData>
  <mergeCells count="8">
    <mergeCell ref="D14:F14"/>
    <mergeCell ref="D13:F13"/>
    <mergeCell ref="D18:F18"/>
    <mergeCell ref="D19:F19"/>
    <mergeCell ref="D20:F20"/>
    <mergeCell ref="D17:F17"/>
    <mergeCell ref="D16:F16"/>
    <mergeCell ref="D15:F15"/>
  </mergeCells>
  <hyperlinks>
    <hyperlink ref="D18" location="_ftn3" display="_ftn3"/>
    <hyperlink ref="B23" location="_ftnref1" display="_ftnref1"/>
    <hyperlink ref="B24" location="_ftnref2" display="_ftnref2"/>
    <hyperlink ref="B25" location="_ftnref3" display="_ftnref3"/>
  </hyperlinks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D0D523F302484F892F723420D71428" ma:contentTypeVersion="8" ma:contentTypeDescription="Create a new document." ma:contentTypeScope="" ma:versionID="5c63b52fe96279c66681866a6e1e68f9">
  <xsd:schema xmlns:xsd="http://www.w3.org/2001/XMLSchema" xmlns:xs="http://www.w3.org/2001/XMLSchema" xmlns:p="http://schemas.microsoft.com/office/2006/metadata/properties" xmlns:ns1="http://schemas.microsoft.com/sharepoint/v3" xmlns:ns2="ea430ab3-9117-4245-8ec8-f243c25dcc3c" xmlns:ns3="http://schemas.microsoft.com/sharepoint/v4" targetNamespace="http://schemas.microsoft.com/office/2006/metadata/properties" ma:root="true" ma:fieldsID="1b4fa04db269b5b410a169be664d3811" ns1:_="" ns2:_="" ns3:_="">
    <xsd:import namespace="http://schemas.microsoft.com/sharepoint/v3"/>
    <xsd:import namespace="ea430ab3-9117-4245-8ec8-f243c25dcc3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anaging_x0020_Entity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3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3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4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5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6" nillable="true" ma:displayName="E-Mail From" ma:hidden="true" ma:internalName="EmailFrom">
      <xsd:simpleType>
        <xsd:restriction base="dms:Text"/>
      </xsd:simpleType>
    </xsd:element>
    <xsd:element name="EmailSubject" ma:index="7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30ab3-9117-4245-8ec8-f243c25dcc3c" elementFormDefault="qualified">
    <xsd:import namespace="http://schemas.microsoft.com/office/2006/documentManagement/types"/>
    <xsd:import namespace="http://schemas.microsoft.com/office/infopath/2007/PartnerControls"/>
    <xsd:element name="Managing_x0020_Entity" ma:index="2" nillable="true" ma:displayName="Managing Entity" ma:format="Dropdown" ma:internalName="Managing_x0020_Entity">
      <xsd:simpleType>
        <xsd:restriction base="dms:Choice">
          <xsd:enumeration value="BRTUV"/>
          <xsd:enumeration value="TN CERT"/>
          <xsd:enumeration value="TN India"/>
          <xsd:enumeration value="TN Mexico"/>
          <xsd:enumeration value="TN Malaysia"/>
          <xsd:enumeration value="CH"/>
          <xsd:enumeration value="AFR"/>
          <xsd:enumeration value="IN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8" nillable="true" ma:displayName="E-Mail Headers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Managing_x0020_Entity xmlns="ea430ab3-9117-4245-8ec8-f243c25dcc3c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AAA7C0-5219-4AAD-B161-F46D45BAD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a430ab3-9117-4245-8ec8-f243c25dcc3c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0BDC8-AE91-4A72-AC04-033003A668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18C821-B8C7-4C13-8EB4-AB9DCCD2F971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  <ds:schemaRef ds:uri="ea430ab3-9117-4245-8ec8-f243c25dcc3c"/>
    <ds:schemaRef ds:uri="http://schemas.openxmlformats.org/package/2006/metadata/core-properties"/>
    <ds:schemaRef ds:uri="http://schemas.microsoft.com/sharepoint/v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GS VER 2021</vt:lpstr>
      <vt:lpstr>Cumulative VER</vt:lpstr>
      <vt:lpstr>Bio-slurry | 2021</vt:lpstr>
      <vt:lpstr>Capacity calculation</vt:lpstr>
      <vt:lpstr>'Capacity calculation'!_ftn2</vt:lpstr>
      <vt:lpstr>'Capacity calculation'!_ftn3</vt:lpstr>
      <vt:lpstr>'Bio-slurry | 2021'!_ftnref1</vt:lpstr>
      <vt:lpstr>'Capacity calculation'!_ftnref2</vt:lpstr>
      <vt:lpstr>'Capacity calculation'!_ftnref3</vt:lpstr>
      <vt:lpstr>'Cumulative VER'!_Ref370485926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</dc:creator>
  <cp:lastModifiedBy>YRE</cp:lastModifiedBy>
  <dcterms:created xsi:type="dcterms:W3CDTF">2008-09-05T08:16:10Z</dcterms:created>
  <dcterms:modified xsi:type="dcterms:W3CDTF">2022-07-04T09:57:32Z</dcterms:modified>
</cp:coreProperties>
</file>