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Projects\FY 2023-24\Active Projects\CCIPL 949\PP responses 28-02-2024\"/>
    </mc:Choice>
  </mc:AlternateContent>
  <xr:revisionPtr revIDLastSave="0" documentId="13_ncr:1_{64092EB1-14EA-4056-A6FF-53457CD5D0E8}" xr6:coauthVersionLast="47" xr6:coauthVersionMax="47" xr10:uidLastSave="{00000000-0000-0000-0000-000000000000}"/>
  <bookViews>
    <workbookView xWindow="-110" yWindow="-110" windowWidth="19420" windowHeight="10300" tabRatio="833" firstSheet="1" activeTab="4" xr2:uid="{499B873A-A089-4AE0-B1C8-960CC25CFB94}"/>
  </bookViews>
  <sheets>
    <sheet name="Reductions" sheetId="1" r:id="rId1"/>
    <sheet name="Baseline" sheetId="2" r:id="rId2"/>
    <sheet name="Project" sheetId="3" r:id="rId3"/>
    <sheet name="Annual Aluminium Production" sheetId="4" r:id="rId4"/>
    <sheet name="Annual Fuel Consumption" sheetId="6" r:id="rId5"/>
    <sheet name="Electricity Consumption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9" i="2" l="1"/>
  <c r="N9" i="3"/>
  <c r="B4" i="4" l="1"/>
  <c r="P8" i="2"/>
  <c r="O13" i="2"/>
  <c r="B3" i="4"/>
  <c r="B2" i="4"/>
  <c r="C3" i="4" l="1"/>
  <c r="AO14" i="7"/>
  <c r="AL13" i="7"/>
  <c r="AJ13" i="7"/>
  <c r="AH13" i="7"/>
  <c r="AF13" i="7"/>
  <c r="AD13" i="7"/>
  <c r="AB13" i="7"/>
  <c r="X13" i="7"/>
  <c r="U13" i="7"/>
  <c r="S13" i="7"/>
  <c r="P13" i="7"/>
  <c r="M13" i="7"/>
  <c r="K13" i="7"/>
  <c r="AL12" i="7"/>
  <c r="AJ12" i="7"/>
  <c r="AH12" i="7"/>
  <c r="AF12" i="7"/>
  <c r="AD12" i="7"/>
  <c r="AB12" i="7"/>
  <c r="X12" i="7"/>
  <c r="U12" i="7"/>
  <c r="S12" i="7"/>
  <c r="P12" i="7"/>
  <c r="M12" i="7"/>
  <c r="K12" i="7"/>
  <c r="AL11" i="7"/>
  <c r="AJ11" i="7"/>
  <c r="AH11" i="7"/>
  <c r="AF11" i="7"/>
  <c r="AD11" i="7"/>
  <c r="AB11" i="7"/>
  <c r="X11" i="7"/>
  <c r="U11" i="7"/>
  <c r="S11" i="7"/>
  <c r="P11" i="7"/>
  <c r="M11" i="7"/>
  <c r="K11" i="7"/>
  <c r="AL10" i="7"/>
  <c r="AJ10" i="7"/>
  <c r="AH10" i="7"/>
  <c r="AF10" i="7"/>
  <c r="AD10" i="7"/>
  <c r="AB10" i="7"/>
  <c r="X10" i="7"/>
  <c r="U10" i="7"/>
  <c r="S10" i="7"/>
  <c r="P10" i="7"/>
  <c r="M10" i="7"/>
  <c r="K10" i="7"/>
  <c r="AO13" i="7" s="1"/>
  <c r="AO9" i="7"/>
  <c r="T12" i="2" l="1"/>
  <c r="R12" i="2"/>
  <c r="P12" i="2"/>
  <c r="L77" i="6"/>
  <c r="M76" i="6"/>
  <c r="N75" i="6"/>
  <c r="N70" i="6"/>
  <c r="N64" i="6"/>
  <c r="N59" i="6"/>
  <c r="N52" i="6"/>
  <c r="N47" i="6"/>
  <c r="N42" i="6"/>
  <c r="N35" i="6"/>
  <c r="N29" i="6"/>
  <c r="N24" i="6"/>
  <c r="N18" i="6"/>
  <c r="N13" i="6"/>
  <c r="N77" i="6" s="1"/>
  <c r="G84" i="6"/>
  <c r="H83" i="6"/>
  <c r="I82" i="6"/>
  <c r="I76" i="6"/>
  <c r="I70" i="6"/>
  <c r="I64" i="6"/>
  <c r="I58" i="6"/>
  <c r="I51" i="6"/>
  <c r="I45" i="6"/>
  <c r="I38" i="6"/>
  <c r="I31" i="6"/>
  <c r="I26" i="6"/>
  <c r="I18" i="6"/>
  <c r="I14" i="6"/>
  <c r="B82" i="6"/>
  <c r="C81" i="6"/>
  <c r="D80" i="6"/>
  <c r="D74" i="6"/>
  <c r="D69" i="6"/>
  <c r="D63" i="6"/>
  <c r="D56" i="6"/>
  <c r="D50" i="6"/>
  <c r="D44" i="6"/>
  <c r="D37" i="6"/>
  <c r="D31" i="6"/>
  <c r="D25" i="6"/>
  <c r="D19" i="6"/>
  <c r="D14" i="6"/>
  <c r="I84" i="6" l="1"/>
  <c r="D82" i="6"/>
  <c r="T16" i="2" l="1"/>
  <c r="R16" i="2"/>
  <c r="P16" i="2"/>
  <c r="S58" i="4"/>
  <c r="G57" i="4"/>
  <c r="F57" i="4"/>
  <c r="S56" i="4"/>
  <c r="L56" i="4"/>
  <c r="S46" i="4" s="1"/>
  <c r="K56" i="4"/>
  <c r="J56" i="4"/>
  <c r="S50" i="4" s="1"/>
  <c r="I56" i="4"/>
  <c r="I57" i="4" s="1"/>
  <c r="H56" i="4"/>
  <c r="H57" i="4" s="1"/>
  <c r="G56" i="4"/>
  <c r="F56" i="4"/>
  <c r="M55" i="4"/>
  <c r="N55" i="4" s="1"/>
  <c r="M54" i="4"/>
  <c r="N54" i="4" s="1"/>
  <c r="M53" i="4"/>
  <c r="N53" i="4" s="1"/>
  <c r="M52" i="4"/>
  <c r="N52" i="4" s="1"/>
  <c r="M51" i="4"/>
  <c r="N51" i="4" s="1"/>
  <c r="M50" i="4"/>
  <c r="N50" i="4" s="1"/>
  <c r="M49" i="4"/>
  <c r="N49" i="4" s="1"/>
  <c r="S48" i="4"/>
  <c r="M48" i="4"/>
  <c r="N48" i="4" s="1"/>
  <c r="N47" i="4"/>
  <c r="M47" i="4"/>
  <c r="M46" i="4"/>
  <c r="N46" i="4" s="1"/>
  <c r="M45" i="4"/>
  <c r="N45" i="4" s="1"/>
  <c r="T44" i="4"/>
  <c r="M44" i="4"/>
  <c r="N44" i="4" s="1"/>
  <c r="S39" i="4"/>
  <c r="G38" i="4"/>
  <c r="F38" i="4"/>
  <c r="S37" i="4"/>
  <c r="L37" i="4"/>
  <c r="S27" i="4" s="1"/>
  <c r="K37" i="4"/>
  <c r="M37" i="4" s="1"/>
  <c r="N37" i="4" s="1"/>
  <c r="S25" i="4" s="1"/>
  <c r="J37" i="4"/>
  <c r="I37" i="4"/>
  <c r="I38" i="4" s="1"/>
  <c r="H37" i="4"/>
  <c r="H38" i="4" s="1"/>
  <c r="M36" i="4"/>
  <c r="N36" i="4" s="1"/>
  <c r="M35" i="4"/>
  <c r="N35" i="4" s="1"/>
  <c r="M34" i="4"/>
  <c r="N34" i="4" s="1"/>
  <c r="M33" i="4"/>
  <c r="N33" i="4" s="1"/>
  <c r="N32" i="4"/>
  <c r="M32" i="4"/>
  <c r="S31" i="4"/>
  <c r="M31" i="4"/>
  <c r="N31" i="4" s="1"/>
  <c r="M30" i="4"/>
  <c r="N30" i="4" s="1"/>
  <c r="M29" i="4"/>
  <c r="N29" i="4" s="1"/>
  <c r="M28" i="4"/>
  <c r="N28" i="4" s="1"/>
  <c r="M27" i="4"/>
  <c r="N27" i="4" s="1"/>
  <c r="M26" i="4"/>
  <c r="N26" i="4" s="1"/>
  <c r="T25" i="4"/>
  <c r="M25" i="4"/>
  <c r="N25" i="4" s="1"/>
  <c r="S21" i="4"/>
  <c r="S19" i="4"/>
  <c r="L19" i="4"/>
  <c r="S9" i="4" s="1"/>
  <c r="K19" i="4"/>
  <c r="Q18" i="4"/>
  <c r="M18" i="4"/>
  <c r="H18" i="4"/>
  <c r="O18" i="4" s="1"/>
  <c r="G18" i="4"/>
  <c r="F18" i="4"/>
  <c r="Q17" i="4"/>
  <c r="J17" i="4"/>
  <c r="M17" i="4" s="1"/>
  <c r="H17" i="4"/>
  <c r="G17" i="4"/>
  <c r="F17" i="4"/>
  <c r="Q16" i="4"/>
  <c r="J16" i="4"/>
  <c r="M16" i="4" s="1"/>
  <c r="H16" i="4"/>
  <c r="G16" i="4"/>
  <c r="F16" i="4"/>
  <c r="O16" i="4" s="1"/>
  <c r="Q15" i="4"/>
  <c r="O15" i="4"/>
  <c r="J15" i="4"/>
  <c r="M15" i="4" s="1"/>
  <c r="H15" i="4"/>
  <c r="G15" i="4"/>
  <c r="F15" i="4"/>
  <c r="Q14" i="4"/>
  <c r="J14" i="4"/>
  <c r="M14" i="4" s="1"/>
  <c r="N14" i="4" s="1"/>
  <c r="P14" i="4" s="1"/>
  <c r="H14" i="4"/>
  <c r="G14" i="4"/>
  <c r="F14" i="4"/>
  <c r="Q13" i="4"/>
  <c r="J13" i="4"/>
  <c r="M13" i="4" s="1"/>
  <c r="H13" i="4"/>
  <c r="G13" i="4"/>
  <c r="F13" i="4"/>
  <c r="O13" i="4" s="1"/>
  <c r="Q12" i="4"/>
  <c r="J12" i="4"/>
  <c r="M12" i="4" s="1"/>
  <c r="H12" i="4"/>
  <c r="G12" i="4"/>
  <c r="F12" i="4"/>
  <c r="S11" i="4"/>
  <c r="Q11" i="4"/>
  <c r="M11" i="4"/>
  <c r="H11" i="4"/>
  <c r="O11" i="4" s="1"/>
  <c r="G11" i="4"/>
  <c r="F11" i="4"/>
  <c r="Q10" i="4"/>
  <c r="M10" i="4"/>
  <c r="H10" i="4"/>
  <c r="G10" i="4"/>
  <c r="F10" i="4"/>
  <c r="Q9" i="4"/>
  <c r="J9" i="4"/>
  <c r="M9" i="4" s="1"/>
  <c r="N9" i="4" s="1"/>
  <c r="P9" i="4" s="1"/>
  <c r="H9" i="4"/>
  <c r="G9" i="4"/>
  <c r="F9" i="4"/>
  <c r="O9" i="4" s="1"/>
  <c r="Q8" i="4"/>
  <c r="M8" i="4"/>
  <c r="N8" i="4" s="1"/>
  <c r="P8" i="4" s="1"/>
  <c r="H8" i="4"/>
  <c r="G8" i="4"/>
  <c r="O8" i="4" s="1"/>
  <c r="F8" i="4"/>
  <c r="T7" i="4"/>
  <c r="Q7" i="4"/>
  <c r="M7" i="4"/>
  <c r="I7" i="4"/>
  <c r="I19" i="4" s="1"/>
  <c r="I20" i="4" s="1"/>
  <c r="H7" i="4"/>
  <c r="G7" i="4"/>
  <c r="F7" i="4"/>
  <c r="F20" i="4" s="1"/>
  <c r="O14" i="4" l="1"/>
  <c r="G20" i="4"/>
  <c r="S15" i="4" s="1"/>
  <c r="N12" i="4"/>
  <c r="P12" i="4" s="1"/>
  <c r="N15" i="4"/>
  <c r="P15" i="4" s="1"/>
  <c r="O17" i="4"/>
  <c r="M56" i="4"/>
  <c r="N56" i="4" s="1"/>
  <c r="S44" i="4" s="1"/>
  <c r="T46" i="4" s="1"/>
  <c r="N7" i="4"/>
  <c r="P7" i="4" s="1"/>
  <c r="N17" i="4"/>
  <c r="P17" i="4" s="1"/>
  <c r="N18" i="4"/>
  <c r="P18" i="4" s="1"/>
  <c r="H19" i="4"/>
  <c r="H20" i="4" s="1"/>
  <c r="N10" i="4"/>
  <c r="P10" i="4" s="1"/>
  <c r="O12" i="4"/>
  <c r="N13" i="4"/>
  <c r="P13" i="4" s="1"/>
  <c r="N11" i="4"/>
  <c r="P11" i="4" s="1"/>
  <c r="N16" i="4"/>
  <c r="P16" i="4" s="1"/>
  <c r="O19" i="4"/>
  <c r="S33" i="4"/>
  <c r="S52" i="4"/>
  <c r="T31" i="4"/>
  <c r="T27" i="4"/>
  <c r="S29" i="4"/>
  <c r="T29" i="4" s="1"/>
  <c r="O10" i="4"/>
  <c r="Q19" i="4"/>
  <c r="O7" i="4"/>
  <c r="J19" i="4"/>
  <c r="T50" i="4" l="1"/>
  <c r="T48" i="4"/>
  <c r="S13" i="4"/>
  <c r="S17" i="4" s="1"/>
  <c r="M19" i="4"/>
  <c r="N19" i="4" s="1"/>
  <c r="T33" i="4"/>
  <c r="T35" i="4" s="1"/>
  <c r="S35" i="4"/>
  <c r="S54" i="4"/>
  <c r="T52" i="4"/>
  <c r="T54" i="4" s="1"/>
  <c r="S7" i="4" l="1"/>
  <c r="P19" i="4"/>
  <c r="T13" i="4"/>
  <c r="T9" i="4" l="1"/>
  <c r="T11" i="4"/>
  <c r="T15" i="4"/>
  <c r="T17" i="4" s="1"/>
  <c r="N10" i="3" l="1"/>
  <c r="N5" i="3" s="1"/>
  <c r="P3" i="1" s="1"/>
  <c r="O17" i="2"/>
  <c r="W8" i="2" s="1"/>
  <c r="O9" i="2" l="1"/>
  <c r="Q4" i="2" s="1"/>
  <c r="O5" i="2" s="1"/>
  <c r="N3" i="1" s="1"/>
  <c r="N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Sanjay Agarwal</author>
    <author>tc={63620E70-D872-446D-8B5E-3C7E54FE5ADC}</author>
  </authors>
  <commentList>
    <comment ref="O1" authorId="0" shapeId="0" xr:uid="{27F4F6B2-F93D-4C3D-831E-7CFDE64646D7}">
      <text>
        <r>
          <rPr>
            <b/>
            <sz val="9"/>
            <color indexed="81"/>
            <rFont val="Tahoma"/>
            <family val="2"/>
          </rPr>
          <t>Sanjay Agarwal:</t>
        </r>
        <r>
          <rPr>
            <sz val="9"/>
            <color indexed="81"/>
            <rFont val="Tahoma"/>
            <family val="2"/>
          </rPr>
          <t xml:space="preserve">
PP has not stated units for the relevant parameters?
</t>
        </r>
        <r>
          <rPr>
            <b/>
            <sz val="9"/>
            <color indexed="81"/>
            <rFont val="Tahoma"/>
            <family val="2"/>
          </rPr>
          <t>PP Response:</t>
        </r>
        <r>
          <rPr>
            <sz val="9"/>
            <color indexed="81"/>
            <rFont val="Tahoma"/>
            <family val="2"/>
          </rPr>
          <t xml:space="preserve"> 
Units for relevant parameters stated. </t>
        </r>
      </text>
    </comment>
    <comment ref="O4" authorId="1" shapeId="0" xr:uid="{63620E70-D872-446D-8B5E-3C7E54FE5ADC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highest production number in 2016</t>
      </text>
    </comment>
    <comment ref="P9" authorId="0" shapeId="0" xr:uid="{4516BFC5-BFAC-45D4-8179-5A74E66DE7DE}">
      <text>
        <r>
          <rPr>
            <b/>
            <sz val="9"/>
            <color indexed="81"/>
            <rFont val="Tahoma"/>
            <family val="2"/>
          </rPr>
          <t>Sanjay Agarwal:</t>
        </r>
        <r>
          <rPr>
            <sz val="9"/>
            <color indexed="81"/>
            <rFont val="Tahoma"/>
            <family val="2"/>
          </rPr>
          <t xml:space="preserve">
is it tCO2 or tonnes of fuel?
</t>
        </r>
        <r>
          <rPr>
            <b/>
            <sz val="9"/>
            <color indexed="81"/>
            <rFont val="Tahoma"/>
            <family val="2"/>
          </rPr>
          <t xml:space="preserve">PP Response: </t>
        </r>
        <r>
          <rPr>
            <sz val="9"/>
            <color indexed="81"/>
            <rFont val="Tahoma"/>
            <family val="2"/>
          </rPr>
          <t xml:space="preserve">
unit is in tCO2/kg</t>
        </r>
      </text>
    </comment>
  </commentList>
</comments>
</file>

<file path=xl/sharedStrings.xml><?xml version="1.0" encoding="utf-8"?>
<sst xmlns="http://schemas.openxmlformats.org/spreadsheetml/2006/main" count="274" uniqueCount="114">
  <si>
    <t>ER(y)</t>
  </si>
  <si>
    <t>=</t>
  </si>
  <si>
    <t>-</t>
  </si>
  <si>
    <t>PE(y)</t>
  </si>
  <si>
    <t>x</t>
  </si>
  <si>
    <t>Fixed ex ante parameters</t>
  </si>
  <si>
    <t>Monitered parameters</t>
  </si>
  <si>
    <t>TCO2e</t>
  </si>
  <si>
    <t>(</t>
  </si>
  <si>
    <t>)</t>
  </si>
  <si>
    <t>/</t>
  </si>
  <si>
    <t>+</t>
  </si>
  <si>
    <t>PE(EC,y)</t>
  </si>
  <si>
    <t xml:space="preserve">Year </t>
  </si>
  <si>
    <t>YEAR / MONTH</t>
  </si>
  <si>
    <t>LOCAL QTY</t>
  </si>
  <si>
    <t>EXPORT QTY</t>
  </si>
  <si>
    <t>TOLLING (DROSS INCONIMG)  QTY</t>
  </si>
  <si>
    <t>FAMOSA DROSS QTY</t>
  </si>
  <si>
    <t>DEOX QTY</t>
  </si>
  <si>
    <t>TO AALBORG</t>
  </si>
  <si>
    <t>TO KA (Disposed)</t>
  </si>
  <si>
    <t>TOTAL AL2O3</t>
  </si>
  <si>
    <t>Total Dross</t>
  </si>
  <si>
    <t>Total ingot</t>
  </si>
  <si>
    <t>Co2 savings (Al. Dross Recovery) (MT)</t>
  </si>
  <si>
    <t>Co2 savings from NERADO</t>
  </si>
  <si>
    <t>Total Processed for 2018 (MT Al. Dross)</t>
  </si>
  <si>
    <t xml:space="preserve">JAN </t>
  </si>
  <si>
    <t>FEB</t>
  </si>
  <si>
    <t>Total MT land fill</t>
  </si>
  <si>
    <t>MAR</t>
  </si>
  <si>
    <t>APR</t>
  </si>
  <si>
    <t>Total MT reused by Cement company for aluminium based cement</t>
  </si>
  <si>
    <t>MAY</t>
  </si>
  <si>
    <t>JUNE</t>
  </si>
  <si>
    <t>Total Deox MT (catlyst for Steel Industry)</t>
  </si>
  <si>
    <t>JUL</t>
  </si>
  <si>
    <t>AUG</t>
  </si>
  <si>
    <t>Total Aluminium MT (Base Metal Produced)</t>
  </si>
  <si>
    <t>SEPT</t>
  </si>
  <si>
    <t>OCT</t>
  </si>
  <si>
    <t>Total MT aluminium based products</t>
  </si>
  <si>
    <t>NOV</t>
  </si>
  <si>
    <t>DEC</t>
  </si>
  <si>
    <t>Total MT Oil used in 2019</t>
  </si>
  <si>
    <t>TOTAL</t>
  </si>
  <si>
    <t>1kg oil = 40,000 KiloJoules</t>
  </si>
  <si>
    <t>Total AL</t>
  </si>
  <si>
    <t>Total GigaJoules per year</t>
  </si>
  <si>
    <t>√</t>
  </si>
  <si>
    <t>Total Processed for 2017 (MT Al. Dross)</t>
  </si>
  <si>
    <t>TOLLING QTY</t>
  </si>
  <si>
    <t>RECOVERY QTY</t>
  </si>
  <si>
    <t>TO KA</t>
  </si>
  <si>
    <t>Total Processed for 2016 (MT Al. Dross)</t>
  </si>
  <si>
    <t>Total AL:</t>
  </si>
  <si>
    <t>JTS ENGINEERING SDN BHD</t>
  </si>
  <si>
    <t>2018 - PURCHASE RECORDS</t>
  </si>
  <si>
    <t xml:space="preserve">SUPPLIERS : CONTINENTAL PLATFORM SDN BHD </t>
  </si>
  <si>
    <t>DATE</t>
  </si>
  <si>
    <t>U/PRICE</t>
  </si>
  <si>
    <t>TTL QTY (MTH)</t>
  </si>
  <si>
    <t>TOTAL :</t>
  </si>
  <si>
    <t>2017 - PURCHASE RECORDS</t>
  </si>
  <si>
    <t>2016 - PURCHASE RECORDS</t>
  </si>
  <si>
    <t>UTILITIES</t>
  </si>
  <si>
    <t>Utilities Name</t>
  </si>
  <si>
    <t>Unit*</t>
  </si>
  <si>
    <t>Input Quantity</t>
  </si>
  <si>
    <t>Data Quality</t>
  </si>
  <si>
    <t>Annex    D</t>
  </si>
  <si>
    <r>
      <t xml:space="preserve"> (Utilities Cost for 2018) Separating Process, Melting Process, Cooling and Pakaging</t>
    </r>
    <r>
      <rPr>
        <i/>
        <sz val="8"/>
        <color indexed="8"/>
        <rFont val="Calibri"/>
        <family val="2"/>
      </rPr>
      <t xml:space="preserve"> operations Annex D</t>
    </r>
  </si>
  <si>
    <t>TNB (Electricity) ( Overall total per mth)</t>
  </si>
  <si>
    <t>kWh</t>
  </si>
  <si>
    <t xml:space="preserve">Plant A </t>
  </si>
  <si>
    <t>(Hopper, Iron scrap saperator, crusher, Screen and Dust separator)</t>
  </si>
  <si>
    <t>Plant B</t>
  </si>
  <si>
    <t>Furnace + Cooling System</t>
  </si>
  <si>
    <t>DeOX Plant</t>
  </si>
  <si>
    <t>SAJ (Water)</t>
  </si>
  <si>
    <r>
      <t>m</t>
    </r>
    <r>
      <rPr>
        <vertAlign val="superscript"/>
        <sz val="8"/>
        <color indexed="8"/>
        <rFont val="Calibri"/>
        <family val="2"/>
      </rPr>
      <t>3</t>
    </r>
  </si>
  <si>
    <t>tCO2/kg</t>
  </si>
  <si>
    <t>kg</t>
  </si>
  <si>
    <t>Total Aluminium (Base Metal Produced) Kg</t>
  </si>
  <si>
    <t>QTY (l)</t>
  </si>
  <si>
    <t>[(</t>
  </si>
  <si>
    <t>]</t>
  </si>
  <si>
    <t>Density (kg/l)</t>
  </si>
  <si>
    <t>2016 (kg)</t>
  </si>
  <si>
    <t>2017 (kg)</t>
  </si>
  <si>
    <t>2018 (kg)</t>
  </si>
  <si>
    <t>2016 (l)</t>
  </si>
  <si>
    <t>2017 (l)</t>
  </si>
  <si>
    <t>2018 (l)</t>
  </si>
  <si>
    <r>
      <t>P</t>
    </r>
    <r>
      <rPr>
        <vertAlign val="subscript"/>
        <sz val="11"/>
        <color theme="1"/>
        <rFont val="Calibri"/>
        <family val="2"/>
        <scheme val="minor"/>
      </rPr>
      <t>prod,BL</t>
    </r>
  </si>
  <si>
    <r>
      <t>FC</t>
    </r>
    <r>
      <rPr>
        <vertAlign val="subscript"/>
        <sz val="11"/>
        <color theme="1"/>
        <rFont val="Calibri"/>
        <family val="2"/>
        <scheme val="minor"/>
      </rPr>
      <t>FF,BL,i</t>
    </r>
  </si>
  <si>
    <r>
      <t>EF</t>
    </r>
    <r>
      <rPr>
        <vertAlign val="subscript"/>
        <sz val="11"/>
        <color theme="1"/>
        <rFont val="Calibri"/>
        <family val="2"/>
        <scheme val="minor"/>
      </rPr>
      <t>CO2,BL</t>
    </r>
  </si>
  <si>
    <r>
      <t>BE</t>
    </r>
    <r>
      <rPr>
        <vertAlign val="subscript"/>
        <sz val="11"/>
        <color theme="1"/>
        <rFont val="Calibri"/>
        <family val="2"/>
        <scheme val="minor"/>
      </rPr>
      <t>y</t>
    </r>
  </si>
  <si>
    <r>
      <t>NCVF</t>
    </r>
    <r>
      <rPr>
        <vertAlign val="subscript"/>
        <sz val="11"/>
        <color rgb="FF9C5700"/>
        <rFont val="Calibri"/>
        <family val="2"/>
        <scheme val="minor"/>
      </rPr>
      <t xml:space="preserve">F,I </t>
    </r>
    <r>
      <rPr>
        <sz val="11"/>
        <color rgb="FF9C5700"/>
        <rFont val="Calibri"/>
        <family val="2"/>
        <scheme val="minor"/>
      </rPr>
      <t>(Gj/kg)</t>
    </r>
  </si>
  <si>
    <r>
      <t>EF</t>
    </r>
    <r>
      <rPr>
        <vertAlign val="subscript"/>
        <sz val="11"/>
        <color rgb="FF9C5700"/>
        <rFont val="Calibri"/>
        <family val="2"/>
        <scheme val="minor"/>
      </rPr>
      <t xml:space="preserve">CO2,FF,I </t>
    </r>
    <r>
      <rPr>
        <sz val="11"/>
        <color rgb="FF9C5700"/>
        <rFont val="Calibri"/>
        <family val="2"/>
        <scheme val="minor"/>
      </rPr>
      <t>(tCO2e/GJ)</t>
    </r>
  </si>
  <si>
    <r>
      <t>P</t>
    </r>
    <r>
      <rPr>
        <vertAlign val="subscript"/>
        <sz val="11"/>
        <color rgb="FF9C5700"/>
        <rFont val="Calibri"/>
        <family val="2"/>
        <scheme val="minor"/>
      </rPr>
      <t xml:space="preserve">prod,BL </t>
    </r>
    <r>
      <rPr>
        <sz val="11"/>
        <color rgb="FF9C5700"/>
        <rFont val="Calibri"/>
        <family val="2"/>
        <scheme val="minor"/>
      </rPr>
      <t>(kg)</t>
    </r>
  </si>
  <si>
    <r>
      <t>FC</t>
    </r>
    <r>
      <rPr>
        <vertAlign val="subscript"/>
        <sz val="11"/>
        <color theme="5" tint="-0.249977111117893"/>
        <rFont val="Calibri"/>
        <family val="2"/>
        <scheme val="minor"/>
      </rPr>
      <t xml:space="preserve">FF,BL,I </t>
    </r>
    <r>
      <rPr>
        <sz val="11"/>
        <color theme="5" tint="-0.249977111117893"/>
        <rFont val="Calibri"/>
        <family val="2"/>
        <scheme val="minor"/>
      </rPr>
      <t>(kg)</t>
    </r>
  </si>
  <si>
    <r>
      <t>P</t>
    </r>
    <r>
      <rPr>
        <vertAlign val="subscript"/>
        <sz val="11"/>
        <color rgb="FF9C5700"/>
        <rFont val="Calibri"/>
        <family val="2"/>
        <scheme val="minor"/>
      </rPr>
      <t xml:space="preserve">prod,y </t>
    </r>
    <r>
      <rPr>
        <sz val="11"/>
        <color rgb="FF9C5700"/>
        <rFont val="Calibri"/>
        <family val="2"/>
        <scheme val="minor"/>
      </rPr>
      <t>(kg)</t>
    </r>
  </si>
  <si>
    <r>
      <t>EF</t>
    </r>
    <r>
      <rPr>
        <vertAlign val="subscript"/>
        <sz val="11"/>
        <color rgb="FF9C5700"/>
        <rFont val="Calibri"/>
        <family val="2"/>
        <scheme val="minor"/>
      </rPr>
      <t xml:space="preserve">CO2,BL </t>
    </r>
    <r>
      <rPr>
        <sz val="11"/>
        <color rgb="FF9C5700"/>
        <rFont val="Calibri"/>
        <family val="2"/>
        <scheme val="minor"/>
      </rPr>
      <t>(tCO2/kg)</t>
    </r>
  </si>
  <si>
    <r>
      <t>BE</t>
    </r>
    <r>
      <rPr>
        <vertAlign val="subscript"/>
        <sz val="11"/>
        <color rgb="FF006100"/>
        <rFont val="Calibri"/>
        <family val="2"/>
        <scheme val="minor"/>
      </rPr>
      <t>y</t>
    </r>
    <r>
      <rPr>
        <sz val="11"/>
        <color rgb="FF006100"/>
        <rFont val="Calibri"/>
        <family val="2"/>
        <scheme val="minor"/>
      </rPr>
      <t xml:space="preserve"> (tCO2)</t>
    </r>
  </si>
  <si>
    <t>tCO2</t>
  </si>
  <si>
    <r>
      <t>PE</t>
    </r>
    <r>
      <rPr>
        <vertAlign val="subscript"/>
        <sz val="11"/>
        <color rgb="FF006100"/>
        <rFont val="Calibri"/>
        <family val="2"/>
        <scheme val="minor"/>
      </rPr>
      <t>y</t>
    </r>
    <r>
      <rPr>
        <sz val="11"/>
        <color rgb="FF006100"/>
        <rFont val="Calibri"/>
        <family val="2"/>
        <scheme val="minor"/>
      </rPr>
      <t xml:space="preserve"> (tCO2)</t>
    </r>
  </si>
  <si>
    <r>
      <t>LE</t>
    </r>
    <r>
      <rPr>
        <vertAlign val="subscript"/>
        <sz val="11"/>
        <color rgb="FF006100"/>
        <rFont val="Calibri"/>
        <family val="2"/>
        <scheme val="minor"/>
      </rPr>
      <t xml:space="preserve">y </t>
    </r>
    <r>
      <rPr>
        <sz val="11"/>
        <color rgb="FF006100"/>
        <rFont val="Calibri"/>
        <family val="2"/>
        <scheme val="minor"/>
      </rPr>
      <t>(tCO2)</t>
    </r>
  </si>
  <si>
    <r>
      <t>PE</t>
    </r>
    <r>
      <rPr>
        <vertAlign val="subscript"/>
        <sz val="11"/>
        <color theme="1"/>
        <rFont val="Calibri"/>
        <family val="2"/>
        <scheme val="minor"/>
      </rPr>
      <t>elec,y</t>
    </r>
  </si>
  <si>
    <r>
      <t>TDL</t>
    </r>
    <r>
      <rPr>
        <vertAlign val="subscript"/>
        <sz val="11"/>
        <color theme="1"/>
        <rFont val="Calibri"/>
        <family val="2"/>
        <scheme val="minor"/>
      </rPr>
      <t>j,y</t>
    </r>
  </si>
  <si>
    <r>
      <t>EC</t>
    </r>
    <r>
      <rPr>
        <vertAlign val="subscript"/>
        <sz val="11"/>
        <color theme="1"/>
        <rFont val="Calibri"/>
        <family val="2"/>
        <scheme val="minor"/>
      </rPr>
      <t>PJ,j,y</t>
    </r>
    <r>
      <rPr>
        <sz val="11"/>
        <color theme="1"/>
        <rFont val="Calibri"/>
        <family val="2"/>
        <scheme val="minor"/>
      </rPr>
      <t xml:space="preserve"> (MWh)</t>
    </r>
  </si>
  <si>
    <r>
      <t>EF</t>
    </r>
    <r>
      <rPr>
        <vertAlign val="subscript"/>
        <sz val="11"/>
        <color theme="1"/>
        <rFont val="Calibri"/>
        <family val="2"/>
        <scheme val="minor"/>
      </rPr>
      <t>EL,j,y</t>
    </r>
    <r>
      <rPr>
        <sz val="11"/>
        <color theme="1"/>
        <rFont val="Calibri"/>
        <family val="2"/>
        <scheme val="minor"/>
      </rPr>
      <t xml:space="preserve"> (tCO2/MWh)</t>
    </r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</si>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</sst>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_-* #,##0.00_-;\-* #,##0.00_-;_-* &quot;-&quot;??_-;_-@_-"/>
    <numFmt numFmtId="165" formatCode="#,##0.0000"/>
    <numFmt numFmtId="166" formatCode="0.0000"/>
    <numFmt numFmtId="167" formatCode="[$-14409]dd/mm/yyyy;@"/>
    <numFmt numFmtId="168" formatCode="_(* #,##0_);_(* \(#,##0\);_(* &quot;-&quot;??_);_(@_)"/>
    <numFmt numFmtId="169" formatCode="#,##0.000000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000000"/>
      <name val="Times New Roman"/>
      <family val="1"/>
    </font>
    <font>
      <sz val="9"/>
      <color theme="1"/>
      <name val="Maiandra GD"/>
      <family val="2"/>
    </font>
    <font>
      <sz val="11"/>
      <color theme="1"/>
      <name val="Maiandra GD"/>
      <family val="2"/>
    </font>
    <font>
      <b/>
      <sz val="9"/>
      <color rgb="FFFF0000"/>
      <name val="Maiandra GD"/>
      <family val="2"/>
    </font>
    <font>
      <b/>
      <sz val="11"/>
      <color theme="1"/>
      <name val="Maiandra GD"/>
      <family val="2"/>
    </font>
    <font>
      <sz val="10"/>
      <color theme="1"/>
      <name val="Maiandra GD"/>
      <family val="2"/>
    </font>
    <font>
      <sz val="11"/>
      <color rgb="FFFF0000"/>
      <name val="Maiandra GD"/>
      <family val="2"/>
    </font>
    <font>
      <b/>
      <sz val="9"/>
      <color theme="1"/>
      <name val="Maiandra GD"/>
      <family val="2"/>
    </font>
    <font>
      <sz val="14"/>
      <color theme="1"/>
      <name val="Maiandra GD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indexed="8"/>
      <name val="Calibri"/>
      <family val="2"/>
    </font>
    <font>
      <sz val="8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6"/>
      <color theme="1"/>
      <name val="Calibri"/>
      <family val="2"/>
      <scheme val="minor"/>
    </font>
    <font>
      <vertAlign val="superscript"/>
      <sz val="8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vertAlign val="subscript"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vertAlign val="subscript"/>
      <sz val="11"/>
      <color theme="5" tint="-0.249977111117893"/>
      <name val="Calibri"/>
      <family val="2"/>
      <scheme val="minor"/>
    </font>
    <font>
      <vertAlign val="subscript"/>
      <sz val="11"/>
      <color rgb="FF9C5700"/>
      <name val="Calibri"/>
      <family val="2"/>
      <scheme val="minor"/>
    </font>
    <font>
      <vertAlign val="subscript"/>
      <sz val="11"/>
      <color rgb="FF0061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</cellStyleXfs>
  <cellXfs count="228">
    <xf numFmtId="0" fontId="0" fillId="0" borderId="0" xfId="0"/>
    <xf numFmtId="4" fontId="2" fillId="5" borderId="0" xfId="2" applyNumberFormat="1" applyFill="1" applyAlignment="1">
      <alignment horizontal="center"/>
    </xf>
    <xf numFmtId="4" fontId="0" fillId="0" borderId="0" xfId="0" applyNumberFormat="1" applyAlignment="1">
      <alignment horizontal="center"/>
    </xf>
    <xf numFmtId="4" fontId="3" fillId="6" borderId="0" xfId="3" applyNumberFormat="1" applyFill="1" applyAlignment="1">
      <alignment horizontal="center"/>
    </xf>
    <xf numFmtId="4" fontId="0" fillId="0" borderId="0" xfId="0" applyNumberFormat="1"/>
    <xf numFmtId="4" fontId="0" fillId="6" borderId="0" xfId="0" applyNumberFormat="1" applyFill="1"/>
    <xf numFmtId="4" fontId="0" fillId="7" borderId="0" xfId="0" applyNumberFormat="1" applyFill="1"/>
    <xf numFmtId="4" fontId="4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quotePrefix="1" applyNumberFormat="1" applyAlignment="1">
      <alignment horizontal="center"/>
    </xf>
    <xf numFmtId="1" fontId="0" fillId="0" borderId="0" xfId="0" quotePrefix="1" applyNumberFormat="1"/>
    <xf numFmtId="1" fontId="0" fillId="0" borderId="0" xfId="0" applyNumberFormat="1"/>
    <xf numFmtId="4" fontId="0" fillId="0" borderId="0" xfId="0" quotePrefix="1" applyNumberFormat="1" applyAlignment="1">
      <alignment horizontal="center"/>
    </xf>
    <xf numFmtId="4" fontId="0" fillId="0" borderId="0" xfId="0" quotePrefix="1" applyNumberFormat="1"/>
    <xf numFmtId="4" fontId="0" fillId="0" borderId="0" xfId="0" applyNumberFormat="1" applyAlignment="1">
      <alignment horizontal="center" vertical="center"/>
    </xf>
    <xf numFmtId="4" fontId="0" fillId="0" borderId="0" xfId="0" quotePrefix="1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/>
    </xf>
    <xf numFmtId="0" fontId="1" fillId="6" borderId="0" xfId="4" applyFill="1" applyAlignment="1">
      <alignment horizontal="center"/>
    </xf>
    <xf numFmtId="0" fontId="0" fillId="0" borderId="0" xfId="0" applyAlignment="1">
      <alignment horizontal="left"/>
    </xf>
    <xf numFmtId="4" fontId="3" fillId="7" borderId="0" xfId="3" applyNumberFormat="1" applyFill="1" applyAlignment="1">
      <alignment horizontal="center"/>
    </xf>
    <xf numFmtId="0" fontId="7" fillId="9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 wrapText="1"/>
    </xf>
    <xf numFmtId="166" fontId="0" fillId="0" borderId="0" xfId="0" applyNumberFormat="1"/>
    <xf numFmtId="0" fontId="0" fillId="0" borderId="1" xfId="0" applyBorder="1"/>
    <xf numFmtId="0" fontId="8" fillId="0" borderId="1" xfId="5" applyFont="1" applyBorder="1" applyAlignment="1">
      <alignment horizontal="center" vertical="center" wrapText="1"/>
    </xf>
    <xf numFmtId="0" fontId="8" fillId="0" borderId="2" xfId="5" applyFont="1" applyBorder="1" applyAlignment="1">
      <alignment horizontal="center" vertical="center" wrapText="1"/>
    </xf>
    <xf numFmtId="0" fontId="8" fillId="10" borderId="1" xfId="5" applyFont="1" applyFill="1" applyBorder="1" applyAlignment="1">
      <alignment horizontal="center" vertical="center"/>
    </xf>
    <xf numFmtId="0" fontId="9" fillId="0" borderId="0" xfId="5" applyFont="1" applyAlignment="1">
      <alignment horizontal="center" vertical="center"/>
    </xf>
    <xf numFmtId="0" fontId="8" fillId="0" borderId="0" xfId="5" applyFont="1"/>
    <xf numFmtId="0" fontId="9" fillId="0" borderId="0" xfId="5" applyFont="1"/>
    <xf numFmtId="4" fontId="9" fillId="0" borderId="1" xfId="5" applyNumberFormat="1" applyFont="1" applyBorder="1" applyAlignment="1">
      <alignment horizontal="left"/>
    </xf>
    <xf numFmtId="10" fontId="1" fillId="0" borderId="1" xfId="5" applyNumberFormat="1" applyBorder="1" applyAlignment="1">
      <alignment horizontal="left"/>
    </xf>
    <xf numFmtId="0" fontId="1" fillId="0" borderId="1" xfId="5" applyBorder="1" applyAlignment="1">
      <alignment horizontal="left"/>
    </xf>
    <xf numFmtId="4" fontId="1" fillId="0" borderId="1" xfId="5" applyNumberFormat="1" applyBorder="1" applyAlignment="1">
      <alignment horizontal="center" wrapText="1"/>
    </xf>
    <xf numFmtId="0" fontId="1" fillId="0" borderId="1" xfId="5" applyBorder="1" applyAlignment="1">
      <alignment horizontal="center" vertical="center" wrapText="1"/>
    </xf>
    <xf numFmtId="0" fontId="10" fillId="0" borderId="1" xfId="5" applyFont="1" applyBorder="1" applyAlignment="1">
      <alignment horizontal="center" vertical="center"/>
    </xf>
    <xf numFmtId="4" fontId="1" fillId="0" borderId="1" xfId="5" applyNumberFormat="1" applyBorder="1"/>
    <xf numFmtId="0" fontId="1" fillId="0" borderId="1" xfId="5" applyBorder="1"/>
    <xf numFmtId="0" fontId="8" fillId="0" borderId="2" xfId="5" applyFont="1" applyBorder="1" applyAlignment="1">
      <alignment horizontal="center" vertical="center"/>
    </xf>
    <xf numFmtId="3" fontId="12" fillId="0" borderId="1" xfId="5" applyNumberFormat="1" applyFont="1" applyBorder="1" applyAlignment="1">
      <alignment horizontal="right" vertical="center"/>
    </xf>
    <xf numFmtId="3" fontId="8" fillId="0" borderId="1" xfId="5" applyNumberFormat="1" applyFont="1" applyBorder="1" applyAlignment="1">
      <alignment horizontal="right" vertical="center"/>
    </xf>
    <xf numFmtId="3" fontId="8" fillId="0" borderId="2" xfId="5" applyNumberFormat="1" applyFont="1" applyBorder="1" applyAlignment="1">
      <alignment horizontal="right" vertical="center"/>
    </xf>
    <xf numFmtId="3" fontId="8" fillId="10" borderId="1" xfId="5" applyNumberFormat="1" applyFont="1" applyFill="1" applyBorder="1" applyAlignment="1">
      <alignment horizontal="center" vertical="center"/>
    </xf>
    <xf numFmtId="3" fontId="9" fillId="0" borderId="0" xfId="5" applyNumberFormat="1" applyFont="1" applyAlignment="1">
      <alignment horizontal="center" vertical="center"/>
    </xf>
    <xf numFmtId="2" fontId="9" fillId="0" borderId="0" xfId="5" applyNumberFormat="1" applyFont="1"/>
    <xf numFmtId="4" fontId="9" fillId="0" borderId="0" xfId="5" applyNumberFormat="1" applyFont="1"/>
    <xf numFmtId="3" fontId="9" fillId="0" borderId="0" xfId="5" applyNumberFormat="1" applyFont="1"/>
    <xf numFmtId="4" fontId="13" fillId="11" borderId="1" xfId="5" applyNumberFormat="1" applyFont="1" applyFill="1" applyBorder="1" applyAlignment="1">
      <alignment horizontal="left"/>
    </xf>
    <xf numFmtId="0" fontId="8" fillId="0" borderId="3" xfId="5" applyFont="1" applyBorder="1" applyAlignment="1">
      <alignment horizontal="center" vertical="center"/>
    </xf>
    <xf numFmtId="3" fontId="12" fillId="0" borderId="7" xfId="5" applyNumberFormat="1" applyFont="1" applyBorder="1" applyAlignment="1">
      <alignment horizontal="right" vertical="center"/>
    </xf>
    <xf numFmtId="3" fontId="8" fillId="0" borderId="7" xfId="5" applyNumberFormat="1" applyFont="1" applyBorder="1" applyAlignment="1">
      <alignment horizontal="right" vertical="center"/>
    </xf>
    <xf numFmtId="3" fontId="8" fillId="0" borderId="3" xfId="5" applyNumberFormat="1" applyFont="1" applyBorder="1" applyAlignment="1">
      <alignment horizontal="right" vertical="center"/>
    </xf>
    <xf numFmtId="3" fontId="8" fillId="10" borderId="8" xfId="5" applyNumberFormat="1" applyFont="1" applyFill="1" applyBorder="1" applyAlignment="1">
      <alignment horizontal="center" vertical="center"/>
    </xf>
    <xf numFmtId="0" fontId="14" fillId="0" borderId="9" xfId="5" applyFont="1" applyBorder="1" applyAlignment="1">
      <alignment horizontal="center" vertical="center"/>
    </xf>
    <xf numFmtId="0" fontId="1" fillId="0" borderId="9" xfId="5" applyBorder="1"/>
    <xf numFmtId="0" fontId="1" fillId="0" borderId="10" xfId="5" applyBorder="1"/>
    <xf numFmtId="3" fontId="8" fillId="0" borderId="11" xfId="5" applyNumberFormat="1" applyFont="1" applyBorder="1" applyAlignment="1">
      <alignment horizontal="right" vertical="center"/>
    </xf>
    <xf numFmtId="3" fontId="8" fillId="0" borderId="12" xfId="5" applyNumberFormat="1" applyFont="1" applyBorder="1" applyAlignment="1">
      <alignment horizontal="right" vertical="center"/>
    </xf>
    <xf numFmtId="3" fontId="8" fillId="10" borderId="13" xfId="5" applyNumberFormat="1" applyFont="1" applyFill="1" applyBorder="1" applyAlignment="1">
      <alignment horizontal="center" vertical="center"/>
    </xf>
    <xf numFmtId="0" fontId="14" fillId="0" borderId="0" xfId="5" applyFont="1" applyAlignment="1">
      <alignment horizontal="center" vertical="center"/>
    </xf>
    <xf numFmtId="3" fontId="8" fillId="11" borderId="14" xfId="5" applyNumberFormat="1" applyFont="1" applyFill="1" applyBorder="1" applyAlignment="1">
      <alignment horizontal="right" vertical="center"/>
    </xf>
    <xf numFmtId="3" fontId="8" fillId="11" borderId="12" xfId="5" applyNumberFormat="1" applyFont="1" applyFill="1" applyBorder="1" applyAlignment="1">
      <alignment horizontal="right" vertical="center"/>
    </xf>
    <xf numFmtId="3" fontId="8" fillId="11" borderId="15" xfId="5" applyNumberFormat="1" applyFont="1" applyFill="1" applyBorder="1" applyAlignment="1">
      <alignment horizontal="right" vertical="center"/>
    </xf>
    <xf numFmtId="3" fontId="8" fillId="0" borderId="10" xfId="5" applyNumberFormat="1" applyFont="1" applyBorder="1" applyAlignment="1">
      <alignment horizontal="right" vertical="center"/>
    </xf>
    <xf numFmtId="3" fontId="8" fillId="0" borderId="0" xfId="5" applyNumberFormat="1" applyFont="1" applyAlignment="1">
      <alignment horizontal="right" vertical="center"/>
    </xf>
    <xf numFmtId="0" fontId="8" fillId="0" borderId="0" xfId="5" applyFont="1" applyAlignment="1">
      <alignment vertical="center"/>
    </xf>
    <xf numFmtId="4" fontId="9" fillId="0" borderId="0" xfId="5" applyNumberFormat="1" applyFont="1" applyAlignment="1">
      <alignment horizontal="left"/>
    </xf>
    <xf numFmtId="10" fontId="1" fillId="0" borderId="0" xfId="5" applyNumberFormat="1" applyAlignment="1">
      <alignment horizontal="left"/>
    </xf>
    <xf numFmtId="0" fontId="1" fillId="0" borderId="0" xfId="5" applyAlignment="1">
      <alignment horizontal="left"/>
    </xf>
    <xf numFmtId="4" fontId="1" fillId="0" borderId="0" xfId="5" applyNumberFormat="1"/>
    <xf numFmtId="0" fontId="1" fillId="0" borderId="0" xfId="5"/>
    <xf numFmtId="0" fontId="15" fillId="0" borderId="0" xfId="5" applyFont="1" applyAlignment="1">
      <alignment horizontal="center" vertical="center"/>
    </xf>
    <xf numFmtId="0" fontId="8" fillId="10" borderId="0" xfId="5" applyFont="1" applyFill="1" applyAlignment="1">
      <alignment vertical="center"/>
    </xf>
    <xf numFmtId="3" fontId="8" fillId="10" borderId="7" xfId="5" applyNumberFormat="1" applyFont="1" applyFill="1" applyBorder="1" applyAlignment="1">
      <alignment horizontal="center" vertical="center"/>
    </xf>
    <xf numFmtId="3" fontId="8" fillId="0" borderId="13" xfId="5" applyNumberFormat="1" applyFont="1" applyBorder="1" applyAlignment="1">
      <alignment horizontal="right" vertical="center"/>
    </xf>
    <xf numFmtId="0" fontId="15" fillId="0" borderId="0" xfId="5" applyFont="1" applyAlignment="1">
      <alignment horizontal="center"/>
    </xf>
    <xf numFmtId="0" fontId="9" fillId="0" borderId="0" xfId="5" applyFont="1" applyAlignment="1">
      <alignment horizontal="left"/>
    </xf>
    <xf numFmtId="0" fontId="8" fillId="0" borderId="1" xfId="5" applyFont="1" applyBorder="1" applyAlignment="1">
      <alignment horizontal="center" wrapText="1"/>
    </xf>
    <xf numFmtId="0" fontId="10" fillId="0" borderId="1" xfId="5" applyFont="1" applyBorder="1" applyAlignment="1">
      <alignment horizontal="center"/>
    </xf>
    <xf numFmtId="0" fontId="8" fillId="0" borderId="3" xfId="5" applyFont="1" applyBorder="1" applyAlignment="1">
      <alignment horizontal="center"/>
    </xf>
    <xf numFmtId="0" fontId="8" fillId="10" borderId="0" xfId="5" applyFont="1" applyFill="1"/>
    <xf numFmtId="0" fontId="8" fillId="0" borderId="2" xfId="5" applyFont="1" applyBorder="1" applyAlignment="1">
      <alignment horizontal="center"/>
    </xf>
    <xf numFmtId="3" fontId="12" fillId="0" borderId="1" xfId="5" applyNumberFormat="1" applyFont="1" applyBorder="1" applyAlignment="1">
      <alignment horizontal="right" indent="1"/>
    </xf>
    <xf numFmtId="3" fontId="8" fillId="0" borderId="1" xfId="5" applyNumberFormat="1" applyFont="1" applyBorder="1" applyAlignment="1">
      <alignment horizontal="right" indent="1"/>
    </xf>
    <xf numFmtId="3" fontId="12" fillId="0" borderId="7" xfId="5" applyNumberFormat="1" applyFont="1" applyBorder="1" applyAlignment="1">
      <alignment horizontal="right" indent="1"/>
    </xf>
    <xf numFmtId="3" fontId="8" fillId="0" borderId="7" xfId="5" applyNumberFormat="1" applyFont="1" applyBorder="1" applyAlignment="1">
      <alignment horizontal="right" indent="1"/>
    </xf>
    <xf numFmtId="0" fontId="14" fillId="0" borderId="14" xfId="5" applyFont="1" applyBorder="1" applyAlignment="1">
      <alignment horizontal="center"/>
    </xf>
    <xf numFmtId="3" fontId="8" fillId="0" borderId="12" xfId="5" applyNumberFormat="1" applyFont="1" applyBorder="1" applyAlignment="1">
      <alignment horizontal="right" indent="1"/>
    </xf>
    <xf numFmtId="3" fontId="8" fillId="0" borderId="13" xfId="5" applyNumberFormat="1" applyFont="1" applyBorder="1" applyAlignment="1">
      <alignment horizontal="right" indent="1"/>
    </xf>
    <xf numFmtId="0" fontId="14" fillId="0" borderId="0" xfId="5" applyFont="1"/>
    <xf numFmtId="3" fontId="8" fillId="0" borderId="14" xfId="5" applyNumberFormat="1" applyFont="1" applyBorder="1" applyAlignment="1">
      <alignment horizontal="right" vertical="center"/>
    </xf>
    <xf numFmtId="3" fontId="8" fillId="0" borderId="15" xfId="5" applyNumberFormat="1" applyFont="1" applyBorder="1" applyAlignment="1">
      <alignment horizontal="right" vertical="center"/>
    </xf>
    <xf numFmtId="0" fontId="16" fillId="0" borderId="0" xfId="0" applyFont="1"/>
    <xf numFmtId="0" fontId="4" fillId="0" borderId="14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67" fontId="0" fillId="0" borderId="17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166" fontId="0" fillId="0" borderId="18" xfId="0" applyNumberFormat="1" applyBorder="1" applyAlignment="1">
      <alignment horizontal="center"/>
    </xf>
    <xf numFmtId="4" fontId="0" fillId="0" borderId="18" xfId="0" applyNumberFormat="1" applyBorder="1"/>
    <xf numFmtId="167" fontId="0" fillId="0" borderId="19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4" fontId="0" fillId="0" borderId="1" xfId="0" applyNumberFormat="1" applyBorder="1"/>
    <xf numFmtId="0" fontId="0" fillId="11" borderId="1" xfId="0" applyFill="1" applyBorder="1" applyAlignment="1">
      <alignment horizontal="center"/>
    </xf>
    <xf numFmtId="166" fontId="0" fillId="11" borderId="1" xfId="0" applyNumberFormat="1" applyFill="1" applyBorder="1" applyAlignment="1">
      <alignment horizontal="center"/>
    </xf>
    <xf numFmtId="167" fontId="0" fillId="0" borderId="20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6" fontId="0" fillId="0" borderId="7" xfId="0" applyNumberFormat="1" applyBorder="1" applyAlignment="1">
      <alignment horizontal="center"/>
    </xf>
    <xf numFmtId="4" fontId="0" fillId="0" borderId="7" xfId="0" applyNumberFormat="1" applyBorder="1"/>
    <xf numFmtId="167" fontId="0" fillId="0" borderId="21" xfId="0" applyNumberFormat="1" applyBorder="1" applyAlignment="1">
      <alignment horizontal="center"/>
    </xf>
    <xf numFmtId="0" fontId="0" fillId="11" borderId="8" xfId="0" applyFill="1" applyBorder="1" applyAlignment="1">
      <alignment horizontal="center"/>
    </xf>
    <xf numFmtId="166" fontId="0" fillId="11" borderId="8" xfId="0" applyNumberFormat="1" applyFill="1" applyBorder="1" applyAlignment="1">
      <alignment horizontal="center"/>
    </xf>
    <xf numFmtId="4" fontId="0" fillId="0" borderId="8" xfId="0" applyNumberFormat="1" applyBorder="1"/>
    <xf numFmtId="0" fontId="0" fillId="11" borderId="7" xfId="0" applyFill="1" applyBorder="1" applyAlignment="1">
      <alignment horizontal="center"/>
    </xf>
    <xf numFmtId="166" fontId="0" fillId="11" borderId="7" xfId="0" applyNumberFormat="1" applyFill="1" applyBorder="1" applyAlignment="1">
      <alignment horizontal="center"/>
    </xf>
    <xf numFmtId="0" fontId="0" fillId="0" borderId="8" xfId="0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7" fontId="0" fillId="0" borderId="22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4" fontId="0" fillId="0" borderId="23" xfId="0" applyNumberFormat="1" applyBorder="1"/>
    <xf numFmtId="167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166" fontId="0" fillId="0" borderId="25" xfId="0" applyNumberFormat="1" applyBorder="1" applyAlignment="1">
      <alignment horizontal="center"/>
    </xf>
    <xf numFmtId="4" fontId="0" fillId="0" borderId="25" xfId="0" applyNumberFormat="1" applyBorder="1"/>
    <xf numFmtId="0" fontId="0" fillId="11" borderId="23" xfId="0" applyFill="1" applyBorder="1" applyAlignment="1">
      <alignment horizontal="center"/>
    </xf>
    <xf numFmtId="166" fontId="0" fillId="11" borderId="23" xfId="0" applyNumberFormat="1" applyFill="1" applyBorder="1" applyAlignment="1">
      <alignment horizontal="center"/>
    </xf>
    <xf numFmtId="1" fontId="0" fillId="11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11" borderId="7" xfId="0" applyNumberFormat="1" applyFill="1" applyBorder="1" applyAlignment="1">
      <alignment horizontal="center"/>
    </xf>
    <xf numFmtId="0" fontId="17" fillId="0" borderId="9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26" xfId="0" applyFont="1" applyBorder="1" applyAlignment="1">
      <alignment vertical="center"/>
    </xf>
    <xf numFmtId="168" fontId="17" fillId="0" borderId="26" xfId="1" applyNumberFormat="1" applyFont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0" fillId="5" borderId="0" xfId="0" applyFill="1"/>
    <xf numFmtId="4" fontId="2" fillId="12" borderId="0" xfId="2" applyNumberFormat="1" applyFill="1" applyAlignment="1">
      <alignment horizontal="center"/>
    </xf>
    <xf numFmtId="0" fontId="0" fillId="12" borderId="0" xfId="0" applyFill="1"/>
    <xf numFmtId="0" fontId="19" fillId="0" borderId="0" xfId="0" applyFont="1"/>
    <xf numFmtId="0" fontId="22" fillId="14" borderId="2" xfId="0" applyFont="1" applyFill="1" applyBorder="1" applyAlignment="1">
      <alignment horizontal="left"/>
    </xf>
    <xf numFmtId="0" fontId="22" fillId="14" borderId="5" xfId="0" applyFont="1" applyFill="1" applyBorder="1" applyAlignment="1">
      <alignment horizontal="left"/>
    </xf>
    <xf numFmtId="0" fontId="22" fillId="14" borderId="6" xfId="0" applyFont="1" applyFill="1" applyBorder="1" applyAlignment="1">
      <alignment horizontal="left"/>
    </xf>
    <xf numFmtId="0" fontId="22" fillId="14" borderId="1" xfId="0" applyFont="1" applyFill="1" applyBorder="1" applyAlignment="1">
      <alignment horizontal="center"/>
    </xf>
    <xf numFmtId="0" fontId="22" fillId="6" borderId="1" xfId="0" applyFont="1" applyFill="1" applyBorder="1"/>
    <xf numFmtId="3" fontId="23" fillId="0" borderId="0" xfId="0" applyNumberFormat="1" applyFont="1"/>
    <xf numFmtId="0" fontId="22" fillId="14" borderId="2" xfId="0" applyFont="1" applyFill="1" applyBorder="1" applyAlignment="1">
      <alignment horizontal="left" vertical="center"/>
    </xf>
    <xf numFmtId="0" fontId="22" fillId="14" borderId="2" xfId="0" applyFont="1" applyFill="1" applyBorder="1" applyAlignment="1">
      <alignment horizontal="center"/>
    </xf>
    <xf numFmtId="3" fontId="0" fillId="5" borderId="0" xfId="0" applyNumberFormat="1" applyFill="1"/>
    <xf numFmtId="165" fontId="3" fillId="6" borderId="0" xfId="3" applyNumberFormat="1" applyFill="1" applyAlignment="1">
      <alignment horizontal="center"/>
    </xf>
    <xf numFmtId="2" fontId="0" fillId="0" borderId="0" xfId="0" applyNumberFormat="1"/>
    <xf numFmtId="1" fontId="0" fillId="0" borderId="1" xfId="0" applyNumberFormat="1" applyBorder="1"/>
    <xf numFmtId="3" fontId="0" fillId="0" borderId="0" xfId="0" applyNumberFormat="1" applyAlignment="1">
      <alignment horizontal="center" vertical="center"/>
    </xf>
    <xf numFmtId="3" fontId="0" fillId="0" borderId="0" xfId="0" quotePrefix="1" applyNumberFormat="1" applyAlignment="1">
      <alignment horizontal="center" vertical="center"/>
    </xf>
    <xf numFmtId="4" fontId="4" fillId="6" borderId="0" xfId="0" applyNumberFormat="1" applyFont="1" applyFill="1" applyAlignment="1">
      <alignment horizontal="center" vertical="center"/>
    </xf>
    <xf numFmtId="3" fontId="0" fillId="0" borderId="0" xfId="0" applyNumberFormat="1"/>
    <xf numFmtId="3" fontId="4" fillId="6" borderId="0" xfId="0" applyNumberFormat="1" applyFont="1" applyFill="1" applyAlignment="1">
      <alignment horizontal="center"/>
    </xf>
    <xf numFmtId="3" fontId="3" fillId="6" borderId="0" xfId="3" applyNumberFormat="1" applyFill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quotePrefix="1" applyNumberFormat="1" applyAlignment="1">
      <alignment horizontal="center"/>
    </xf>
    <xf numFmtId="1" fontId="29" fillId="6" borderId="0" xfId="0" applyNumberFormat="1" applyFont="1" applyFill="1" applyAlignment="1">
      <alignment horizontal="center"/>
    </xf>
    <xf numFmtId="4" fontId="3" fillId="6" borderId="0" xfId="3" applyNumberFormat="1" applyFill="1" applyAlignment="1">
      <alignment horizontal="center" wrapText="1"/>
    </xf>
    <xf numFmtId="3" fontId="3" fillId="7" borderId="0" xfId="3" applyNumberFormat="1" applyFill="1" applyAlignment="1">
      <alignment horizontal="center"/>
    </xf>
    <xf numFmtId="0" fontId="0" fillId="4" borderId="0" xfId="4" applyFont="1" applyAlignment="1">
      <alignment horizontal="center"/>
    </xf>
    <xf numFmtId="0" fontId="0" fillId="6" borderId="0" xfId="4" applyFont="1" applyFill="1" applyAlignment="1">
      <alignment horizontal="center"/>
    </xf>
    <xf numFmtId="0" fontId="0" fillId="4" borderId="0" xfId="4" applyFont="1" applyAlignment="1">
      <alignment horizontal="center" wrapText="1"/>
    </xf>
    <xf numFmtId="0" fontId="0" fillId="6" borderId="0" xfId="4" applyFont="1" applyFill="1" applyAlignment="1">
      <alignment horizontal="center" wrapText="1"/>
    </xf>
    <xf numFmtId="3" fontId="4" fillId="6" borderId="0" xfId="0" applyNumberFormat="1" applyFont="1" applyFill="1" applyAlignment="1">
      <alignment horizontal="center" vertical="center"/>
    </xf>
    <xf numFmtId="3" fontId="5" fillId="7" borderId="0" xfId="3" applyNumberFormat="1" applyFont="1" applyFill="1" applyAlignment="1">
      <alignment horizontal="center"/>
    </xf>
    <xf numFmtId="3" fontId="1" fillId="4" borderId="0" xfId="4" applyNumberFormat="1" applyAlignment="1">
      <alignment horizontal="center"/>
    </xf>
    <xf numFmtId="3" fontId="6" fillId="8" borderId="0" xfId="0" applyNumberFormat="1" applyFont="1" applyFill="1" applyAlignment="1">
      <alignment horizontal="center"/>
    </xf>
    <xf numFmtId="169" fontId="3" fillId="6" borderId="0" xfId="3" applyNumberFormat="1" applyFill="1" applyAlignment="1">
      <alignment horizontal="center"/>
    </xf>
    <xf numFmtId="169" fontId="5" fillId="6" borderId="0" xfId="0" applyNumberFormat="1" applyFont="1" applyFill="1" applyAlignment="1">
      <alignment horizontal="center"/>
    </xf>
    <xf numFmtId="10" fontId="1" fillId="0" borderId="2" xfId="5" applyNumberFormat="1" applyBorder="1" applyAlignment="1">
      <alignment horizontal="center"/>
    </xf>
    <xf numFmtId="10" fontId="1" fillId="0" borderId="5" xfId="5" applyNumberFormat="1" applyBorder="1" applyAlignment="1">
      <alignment horizontal="center"/>
    </xf>
    <xf numFmtId="10" fontId="1" fillId="0" borderId="6" xfId="5" applyNumberFormat="1" applyBorder="1" applyAlignment="1">
      <alignment horizontal="center"/>
    </xf>
    <xf numFmtId="4" fontId="11" fillId="0" borderId="2" xfId="5" applyNumberFormat="1" applyFont="1" applyBorder="1" applyAlignment="1">
      <alignment horizontal="left"/>
    </xf>
    <xf numFmtId="4" fontId="11" fillId="0" borderId="5" xfId="5" applyNumberFormat="1" applyFont="1" applyBorder="1" applyAlignment="1">
      <alignment horizontal="left"/>
    </xf>
    <xf numFmtId="4" fontId="11" fillId="0" borderId="6" xfId="5" applyNumberFormat="1" applyFont="1" applyBorder="1" applyAlignment="1">
      <alignment horizontal="left"/>
    </xf>
    <xf numFmtId="0" fontId="8" fillId="0" borderId="3" xfId="5" applyFont="1" applyBorder="1" applyAlignment="1">
      <alignment horizontal="right" vertical="center"/>
    </xf>
    <xf numFmtId="0" fontId="8" fillId="0" borderId="4" xfId="5" applyFont="1" applyBorder="1" applyAlignment="1">
      <alignment horizontal="right" vertical="center"/>
    </xf>
    <xf numFmtId="0" fontId="8" fillId="0" borderId="3" xfId="5" applyFont="1" applyBorder="1" applyAlignment="1">
      <alignment horizontal="center"/>
    </xf>
    <xf numFmtId="0" fontId="8" fillId="0" borderId="4" xfId="5" applyFont="1" applyBorder="1" applyAlignment="1">
      <alignment horizontal="center"/>
    </xf>
    <xf numFmtId="0" fontId="8" fillId="0" borderId="16" xfId="5" applyFont="1" applyBorder="1" applyAlignment="1">
      <alignment horizontal="center"/>
    </xf>
    <xf numFmtId="4" fontId="9" fillId="0" borderId="2" xfId="5" applyNumberFormat="1" applyFont="1" applyBorder="1" applyAlignment="1">
      <alignment horizontal="center"/>
    </xf>
    <xf numFmtId="4" fontId="9" fillId="0" borderId="5" xfId="5" applyNumberFormat="1" applyFont="1" applyBorder="1" applyAlignment="1">
      <alignment horizontal="center"/>
    </xf>
    <xf numFmtId="4" fontId="9" fillId="0" borderId="6" xfId="5" applyNumberFormat="1" applyFont="1" applyBorder="1" applyAlignment="1">
      <alignment horizontal="center"/>
    </xf>
    <xf numFmtId="0" fontId="8" fillId="0" borderId="3" xfId="5" applyFont="1" applyBorder="1" applyAlignment="1">
      <alignment horizontal="center" vertical="center"/>
    </xf>
    <xf numFmtId="0" fontId="8" fillId="0" borderId="4" xfId="5" applyFont="1" applyBorder="1" applyAlignment="1">
      <alignment horizontal="center" vertical="center"/>
    </xf>
    <xf numFmtId="0" fontId="8" fillId="0" borderId="16" xfId="5" applyFont="1" applyBorder="1" applyAlignment="1">
      <alignment horizontal="center" vertical="center"/>
    </xf>
    <xf numFmtId="3" fontId="22" fillId="14" borderId="2" xfId="0" applyNumberFormat="1" applyFont="1" applyFill="1" applyBorder="1" applyAlignment="1">
      <alignment horizontal="center"/>
    </xf>
    <xf numFmtId="3" fontId="22" fillId="14" borderId="6" xfId="0" applyNumberFormat="1" applyFont="1" applyFill="1" applyBorder="1" applyAlignment="1">
      <alignment horizontal="center"/>
    </xf>
    <xf numFmtId="0" fontId="22" fillId="14" borderId="5" xfId="0" applyFont="1" applyFill="1" applyBorder="1" applyAlignment="1">
      <alignment horizontal="center"/>
    </xf>
    <xf numFmtId="0" fontId="22" fillId="14" borderId="6" xfId="0" applyFont="1" applyFill="1" applyBorder="1" applyAlignment="1">
      <alignment horizontal="center"/>
    </xf>
    <xf numFmtId="0" fontId="22" fillId="14" borderId="2" xfId="0" applyFont="1" applyFill="1" applyBorder="1" applyAlignment="1">
      <alignment horizontal="center"/>
    </xf>
    <xf numFmtId="0" fontId="22" fillId="14" borderId="2" xfId="0" applyFont="1" applyFill="1" applyBorder="1" applyAlignment="1">
      <alignment horizontal="left"/>
    </xf>
    <xf numFmtId="0" fontId="22" fillId="14" borderId="5" xfId="0" applyFont="1" applyFill="1" applyBorder="1" applyAlignment="1">
      <alignment horizontal="left"/>
    </xf>
    <xf numFmtId="0" fontId="22" fillId="14" borderId="6" xfId="0" applyFont="1" applyFill="1" applyBorder="1" applyAlignment="1">
      <alignment horizontal="left"/>
    </xf>
    <xf numFmtId="3" fontId="22" fillId="14" borderId="5" xfId="0" applyNumberFormat="1" applyFont="1" applyFill="1" applyBorder="1" applyAlignment="1">
      <alignment horizontal="center"/>
    </xf>
    <xf numFmtId="4" fontId="22" fillId="14" borderId="2" xfId="0" applyNumberFormat="1" applyFont="1" applyFill="1" applyBorder="1" applyAlignment="1">
      <alignment horizontal="center"/>
    </xf>
    <xf numFmtId="4" fontId="22" fillId="14" borderId="5" xfId="0" applyNumberFormat="1" applyFont="1" applyFill="1" applyBorder="1" applyAlignment="1">
      <alignment horizontal="center"/>
    </xf>
    <xf numFmtId="4" fontId="22" fillId="14" borderId="6" xfId="0" applyNumberFormat="1" applyFont="1" applyFill="1" applyBorder="1" applyAlignment="1">
      <alignment horizontal="center"/>
    </xf>
    <xf numFmtId="0" fontId="24" fillId="14" borderId="5" xfId="0" applyFont="1" applyFill="1" applyBorder="1" applyAlignment="1">
      <alignment horizontal="center" wrapText="1"/>
    </xf>
    <xf numFmtId="0" fontId="24" fillId="14" borderId="6" xfId="0" applyFont="1" applyFill="1" applyBorder="1" applyAlignment="1">
      <alignment horizontal="center" wrapText="1"/>
    </xf>
    <xf numFmtId="0" fontId="19" fillId="13" borderId="2" xfId="0" applyFont="1" applyFill="1" applyBorder="1" applyAlignment="1">
      <alignment horizontal="center" vertical="center" wrapText="1"/>
    </xf>
    <xf numFmtId="0" fontId="19" fillId="13" borderId="6" xfId="0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left"/>
    </xf>
    <xf numFmtId="0" fontId="19" fillId="0" borderId="5" xfId="0" applyFont="1" applyBorder="1" applyAlignment="1">
      <alignment horizontal="left"/>
    </xf>
    <xf numFmtId="0" fontId="19" fillId="0" borderId="6" xfId="0" applyFont="1" applyBorder="1" applyAlignment="1">
      <alignment horizontal="left"/>
    </xf>
    <xf numFmtId="0" fontId="19" fillId="13" borderId="5" xfId="0" applyFont="1" applyFill="1" applyBorder="1" applyAlignment="1">
      <alignment horizontal="center" vertical="center" wrapText="1"/>
    </xf>
    <xf numFmtId="0" fontId="18" fillId="5" borderId="2" xfId="0" applyFont="1" applyFill="1" applyBorder="1" applyAlignment="1">
      <alignment horizontal="center"/>
    </xf>
    <xf numFmtId="0" fontId="18" fillId="5" borderId="5" xfId="0" applyFont="1" applyFill="1" applyBorder="1" applyAlignment="1">
      <alignment horizontal="center"/>
    </xf>
    <xf numFmtId="0" fontId="18" fillId="5" borderId="6" xfId="0" applyFont="1" applyFill="1" applyBorder="1" applyAlignment="1">
      <alignment horizontal="center"/>
    </xf>
    <xf numFmtId="0" fontId="19" fillId="13" borderId="3" xfId="0" applyFont="1" applyFill="1" applyBorder="1" applyAlignment="1">
      <alignment horizontal="center" vertical="center" wrapText="1"/>
    </xf>
    <xf numFmtId="0" fontId="19" fillId="13" borderId="4" xfId="0" applyFont="1" applyFill="1" applyBorder="1" applyAlignment="1">
      <alignment horizontal="center" vertical="center" wrapText="1"/>
    </xf>
    <xf numFmtId="0" fontId="19" fillId="13" borderId="16" xfId="0" applyFont="1" applyFill="1" applyBorder="1" applyAlignment="1">
      <alignment horizontal="center" vertical="center" wrapText="1"/>
    </xf>
    <xf numFmtId="0" fontId="19" fillId="13" borderId="28" xfId="0" applyFont="1" applyFill="1" applyBorder="1" applyAlignment="1">
      <alignment horizontal="center" vertical="center" wrapText="1"/>
    </xf>
    <xf numFmtId="0" fontId="19" fillId="13" borderId="29" xfId="0" applyFont="1" applyFill="1" applyBorder="1" applyAlignment="1">
      <alignment horizontal="center" vertical="center" wrapText="1"/>
    </xf>
    <xf numFmtId="0" fontId="19" fillId="13" borderId="30" xfId="0" applyFont="1" applyFill="1" applyBorder="1" applyAlignment="1">
      <alignment horizontal="center" vertical="center" wrapText="1"/>
    </xf>
    <xf numFmtId="0" fontId="19" fillId="13" borderId="7" xfId="0" applyFont="1" applyFill="1" applyBorder="1" applyAlignment="1">
      <alignment horizontal="center" vertical="center"/>
    </xf>
    <xf numFmtId="0" fontId="19" fillId="13" borderId="23" xfId="0" applyFont="1" applyFill="1" applyBorder="1" applyAlignment="1">
      <alignment horizontal="center" vertical="center"/>
    </xf>
    <xf numFmtId="0" fontId="19" fillId="6" borderId="7" xfId="0" applyFont="1" applyFill="1" applyBorder="1" applyAlignment="1">
      <alignment horizontal="center" vertical="top" wrapText="1"/>
    </xf>
    <xf numFmtId="0" fontId="19" fillId="6" borderId="23" xfId="0" applyFont="1" applyFill="1" applyBorder="1" applyAlignment="1">
      <alignment horizontal="center" vertical="top" wrapText="1"/>
    </xf>
    <xf numFmtId="0" fontId="20" fillId="0" borderId="27" xfId="0" applyFont="1" applyBorder="1" applyAlignment="1">
      <alignment horizontal="center" vertical="center" wrapText="1"/>
    </xf>
    <xf numFmtId="168" fontId="0" fillId="0" borderId="0" xfId="0" applyNumberFormat="1"/>
    <xf numFmtId="43" fontId="0" fillId="0" borderId="0" xfId="0" applyNumberFormat="1"/>
  </cellXfs>
  <cellStyles count="6">
    <cellStyle name="20% - Accent4" xfId="4" builtinId="42"/>
    <cellStyle name="Comma" xfId="1" builtinId="3"/>
    <cellStyle name="Good" xfId="2" builtinId="26"/>
    <cellStyle name="Neutral" xfId="3" builtinId="28"/>
    <cellStyle name="Normal" xfId="0" builtinId="0"/>
    <cellStyle name="Normal 2" xfId="5" xr:uid="{02B8CE92-DFF7-4050-9BD1-4D1CFEE9661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241358</xdr:colOff>
      <xdr:row>9</xdr:row>
      <xdr:rowOff>68132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0FE150-9B65-4F37-80A0-63D52A416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118158" cy="17508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378486</xdr:colOff>
      <xdr:row>27</xdr:row>
      <xdr:rowOff>10265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AB6741-1B5A-4A1E-9466-2570F81B1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64886" cy="564873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18022</xdr:colOff>
      <xdr:row>7</xdr:row>
      <xdr:rowOff>537328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209019-C1A7-426A-9C6E-0EE651524D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894822" cy="1851778"/>
        </a:xfrm>
        <a:prstGeom prst="rect">
          <a:avLst/>
        </a:prstGeom>
      </xdr:spPr>
    </xdr:pic>
    <xdr:clientData/>
  </xdr:twoCellAnchor>
  <xdr:twoCellAnchor editAs="oneCell">
    <xdr:from>
      <xdr:col>0</xdr:col>
      <xdr:colOff>393700</xdr:colOff>
      <xdr:row>9</xdr:row>
      <xdr:rowOff>6350</xdr:rowOff>
    </xdr:from>
    <xdr:to>
      <xdr:col>8</xdr:col>
      <xdr:colOff>49721</xdr:colOff>
      <xdr:row>17</xdr:row>
      <xdr:rowOff>56391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9329AB0-E083-4532-A359-A7DEA703E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3700" y="1663700"/>
          <a:ext cx="4532821" cy="1523241"/>
        </a:xfrm>
        <a:prstGeom prst="rect">
          <a:avLst/>
        </a:prstGeom>
      </xdr:spPr>
    </xdr:pic>
    <xdr:clientData/>
  </xdr:twoCellAnchor>
  <xdr:twoCellAnchor editAs="oneCell">
    <xdr:from>
      <xdr:col>0</xdr:col>
      <xdr:colOff>31750</xdr:colOff>
      <xdr:row>17</xdr:row>
      <xdr:rowOff>101600</xdr:rowOff>
    </xdr:from>
    <xdr:to>
      <xdr:col>8</xdr:col>
      <xdr:colOff>393697</xdr:colOff>
      <xdr:row>26</xdr:row>
      <xdr:rowOff>153134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4963CA7-16CF-4357-8D2E-97D838E073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750" y="3232150"/>
          <a:ext cx="5238747" cy="1708884"/>
        </a:xfrm>
        <a:prstGeom prst="rect">
          <a:avLst/>
        </a:prstGeom>
      </xdr:spPr>
    </xdr:pic>
    <xdr:clientData/>
  </xdr:twoCellAnchor>
  <xdr:twoCellAnchor editAs="oneCell">
    <xdr:from>
      <xdr:col>0</xdr:col>
      <xdr:colOff>31750</xdr:colOff>
      <xdr:row>26</xdr:row>
      <xdr:rowOff>177800</xdr:rowOff>
    </xdr:from>
    <xdr:to>
      <xdr:col>9</xdr:col>
      <xdr:colOff>489</xdr:colOff>
      <xdr:row>36</xdr:row>
      <xdr:rowOff>156010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1AEC5A1-64C6-4D51-988A-F9DA6C94EB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750" y="4965700"/>
          <a:ext cx="5455139" cy="181971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Ying Shian Loh" id="{BBB8E03E-C619-458A-BD98-EEA2D7070586}" userId="282b8379ebd1b73e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4" dT="2024-01-31T02:37:52.84" personId="{BBB8E03E-C619-458A-BD98-EEA2D7070586}" id="{63620E70-D872-446D-8B5E-3C7E54FE5ADC}">
    <text>Based on highest production number in 2016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CD28E-B1AA-455C-8631-9985CC9A3F77}">
  <dimension ref="L2:R4"/>
  <sheetViews>
    <sheetView topLeftCell="H1" workbookViewId="0">
      <selection activeCell="C22" sqref="C22"/>
    </sheetView>
  </sheetViews>
  <sheetFormatPr defaultRowHeight="14.5" x14ac:dyDescent="0.35"/>
  <sheetData>
    <row r="2" spans="12:18" ht="16.5" x14ac:dyDescent="0.45">
      <c r="L2" s="1" t="s">
        <v>0</v>
      </c>
      <c r="M2" s="2" t="s">
        <v>1</v>
      </c>
      <c r="N2" s="1" t="s">
        <v>105</v>
      </c>
      <c r="O2" s="2" t="s">
        <v>2</v>
      </c>
      <c r="P2" s="1" t="s">
        <v>107</v>
      </c>
      <c r="Q2" s="2" t="s">
        <v>2</v>
      </c>
      <c r="R2" s="139" t="s">
        <v>108</v>
      </c>
    </row>
    <row r="3" spans="12:18" x14ac:dyDescent="0.35">
      <c r="N3" s="150">
        <f>Baseline!O5</f>
        <v>3222.8891255499411</v>
      </c>
      <c r="P3" s="150">
        <f>Project!N5</f>
        <v>1531.1995919999999</v>
      </c>
      <c r="R3" s="140">
        <v>0</v>
      </c>
    </row>
    <row r="4" spans="12:18" x14ac:dyDescent="0.35">
      <c r="M4" s="2" t="s">
        <v>1</v>
      </c>
      <c r="N4" s="150">
        <f>N3-P3-R3</f>
        <v>1691.6895335499412</v>
      </c>
      <c r="O4" s="7" t="s">
        <v>106</v>
      </c>
      <c r="P4" s="13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336BA-3C8F-4C1D-8C5D-BEC3E89954ED}">
  <dimension ref="M1:Z29"/>
  <sheetViews>
    <sheetView topLeftCell="E1" zoomScale="78" zoomScaleNormal="78" workbookViewId="0">
      <selection activeCell="O5" sqref="O5"/>
    </sheetView>
  </sheetViews>
  <sheetFormatPr defaultRowHeight="14.5" x14ac:dyDescent="0.35"/>
  <cols>
    <col min="15" max="15" width="13" customWidth="1"/>
    <col min="16" max="16" width="11.90625" customWidth="1"/>
    <col min="17" max="17" width="11.1796875" customWidth="1"/>
    <col min="18" max="18" width="13.1796875" customWidth="1"/>
    <col min="19" max="19" width="10.81640625" customWidth="1"/>
    <col min="20" max="20" width="12" customWidth="1"/>
    <col min="23" max="23" width="11.81640625" bestFit="1" customWidth="1"/>
    <col min="26" max="26" width="12" customWidth="1"/>
  </cols>
  <sheetData>
    <row r="1" spans="13:26" x14ac:dyDescent="0.35"/>
    <row r="3" spans="13:26" ht="46.5" x14ac:dyDescent="0.45">
      <c r="M3" s="2" t="s">
        <v>98</v>
      </c>
      <c r="N3" s="2" t="s">
        <v>1</v>
      </c>
      <c r="O3" s="21" t="s">
        <v>103</v>
      </c>
      <c r="P3" s="2" t="s">
        <v>4</v>
      </c>
      <c r="Q3" s="163" t="s">
        <v>104</v>
      </c>
      <c r="R3" s="2"/>
      <c r="S3" s="4"/>
      <c r="T3" s="5"/>
      <c r="U3" s="4" t="s">
        <v>5</v>
      </c>
      <c r="V3" s="4"/>
      <c r="W3" s="4"/>
    </row>
    <row r="4" spans="13:26" x14ac:dyDescent="0.35">
      <c r="M4" s="2"/>
      <c r="N4" s="2" t="s">
        <v>1</v>
      </c>
      <c r="O4" s="164">
        <v>4498971</v>
      </c>
      <c r="P4" s="2" t="s">
        <v>4</v>
      </c>
      <c r="Q4" s="173">
        <f>O9</f>
        <v>7.1636139142704875E-4</v>
      </c>
      <c r="R4" s="2"/>
      <c r="S4" s="4"/>
      <c r="T4" s="6"/>
      <c r="U4" s="4" t="s">
        <v>6</v>
      </c>
      <c r="V4" s="4"/>
      <c r="W4" s="4"/>
    </row>
    <row r="5" spans="13:26" x14ac:dyDescent="0.35">
      <c r="M5" s="2"/>
      <c r="N5" s="2" t="s">
        <v>1</v>
      </c>
      <c r="O5" s="170">
        <f>O4*Q4</f>
        <v>3222.8891255499411</v>
      </c>
      <c r="P5" s="7" t="s">
        <v>7</v>
      </c>
      <c r="Q5" s="2"/>
      <c r="R5" s="2"/>
      <c r="S5" s="4"/>
      <c r="T5" s="4"/>
      <c r="U5" s="4"/>
      <c r="V5" s="4"/>
      <c r="W5" s="4"/>
    </row>
    <row r="6" spans="13:26" x14ac:dyDescent="0.35">
      <c r="M6" s="2"/>
      <c r="N6" s="2"/>
      <c r="O6" s="2"/>
      <c r="P6" s="2"/>
      <c r="Q6" s="2"/>
      <c r="R6" s="2"/>
      <c r="S6" s="4"/>
      <c r="T6" s="4"/>
      <c r="U6" s="4"/>
      <c r="V6" s="4"/>
      <c r="W6" s="4"/>
    </row>
    <row r="7" spans="13:26" ht="32" x14ac:dyDescent="0.45">
      <c r="M7" s="2" t="s">
        <v>97</v>
      </c>
      <c r="N7" s="2" t="s">
        <v>1</v>
      </c>
      <c r="O7" s="2" t="s">
        <v>8</v>
      </c>
      <c r="P7" s="162" t="s">
        <v>102</v>
      </c>
      <c r="Q7" s="2" t="s">
        <v>4</v>
      </c>
      <c r="R7" s="3" t="s">
        <v>99</v>
      </c>
      <c r="S7" s="2" t="s">
        <v>4</v>
      </c>
      <c r="T7" s="163" t="s">
        <v>100</v>
      </c>
      <c r="U7" s="2" t="s">
        <v>9</v>
      </c>
      <c r="V7" s="2" t="s">
        <v>10</v>
      </c>
      <c r="W7" s="3" t="s">
        <v>101</v>
      </c>
    </row>
    <row r="8" spans="13:26" x14ac:dyDescent="0.35">
      <c r="M8" s="2"/>
      <c r="N8" s="2" t="s">
        <v>1</v>
      </c>
      <c r="O8" s="2" t="s">
        <v>8</v>
      </c>
      <c r="P8" s="159">
        <f>O13</f>
        <v>1030678.0666666668</v>
      </c>
      <c r="Q8" s="2" t="s">
        <v>4</v>
      </c>
      <c r="R8" s="151">
        <v>4.0399999999999998E-2</v>
      </c>
      <c r="S8" s="2" t="s">
        <v>4</v>
      </c>
      <c r="T8" s="151">
        <v>7.7399999999999997E-2</v>
      </c>
      <c r="U8" s="2" t="s">
        <v>9</v>
      </c>
      <c r="V8" s="2" t="s">
        <v>10</v>
      </c>
      <c r="W8" s="159">
        <f>O17</f>
        <v>4498970.9466666663</v>
      </c>
    </row>
    <row r="9" spans="13:26" x14ac:dyDescent="0.35">
      <c r="M9" s="2"/>
      <c r="N9" s="2" t="s">
        <v>1</v>
      </c>
      <c r="O9" s="174">
        <f>(P8*R8*T8)/W8</f>
        <v>7.1636139142704875E-4</v>
      </c>
      <c r="P9" s="7" t="s">
        <v>82</v>
      </c>
      <c r="Q9" s="2"/>
      <c r="R9" s="2"/>
      <c r="S9" s="2"/>
      <c r="T9" s="2"/>
      <c r="U9" s="2"/>
      <c r="V9" s="4"/>
      <c r="W9" s="4"/>
    </row>
    <row r="10" spans="13:26" x14ac:dyDescent="0.35">
      <c r="M10" s="2"/>
      <c r="N10" s="2"/>
      <c r="O10" s="2"/>
      <c r="P10" s="2"/>
      <c r="Q10" s="2"/>
      <c r="R10" s="2"/>
      <c r="S10" s="2"/>
      <c r="T10" s="2"/>
      <c r="U10" s="2"/>
      <c r="V10" s="4"/>
      <c r="W10" s="4"/>
    </row>
    <row r="11" spans="13:26" ht="16.5" x14ac:dyDescent="0.45">
      <c r="M11" s="8" t="s">
        <v>96</v>
      </c>
      <c r="N11" s="8" t="s">
        <v>1</v>
      </c>
      <c r="O11" s="8" t="s">
        <v>86</v>
      </c>
      <c r="P11" s="9" t="s">
        <v>92</v>
      </c>
      <c r="Q11" s="9" t="s">
        <v>11</v>
      </c>
      <c r="R11" s="8" t="s">
        <v>93</v>
      </c>
      <c r="S11" s="9" t="s">
        <v>11</v>
      </c>
      <c r="T11" s="8" t="s">
        <v>94</v>
      </c>
      <c r="U11" s="8" t="s">
        <v>9</v>
      </c>
      <c r="V11" s="10" t="s">
        <v>10</v>
      </c>
      <c r="W11" s="11">
        <v>3</v>
      </c>
      <c r="X11" t="s">
        <v>87</v>
      </c>
      <c r="Y11" s="2" t="s">
        <v>4</v>
      </c>
      <c r="Z11" t="s">
        <v>88</v>
      </c>
    </row>
    <row r="12" spans="13:26" x14ac:dyDescent="0.35">
      <c r="M12" s="2"/>
      <c r="N12" s="12"/>
      <c r="O12" s="2" t="s">
        <v>86</v>
      </c>
      <c r="P12" s="160">
        <f>'Annual Fuel Consumption'!L77</f>
        <v>973950</v>
      </c>
      <c r="Q12" s="161" t="s">
        <v>11</v>
      </c>
      <c r="R12" s="160">
        <f>'Annual Fuel Consumption'!G84</f>
        <v>1088610</v>
      </c>
      <c r="S12" s="161" t="s">
        <v>11</v>
      </c>
      <c r="T12" s="160">
        <f>'Annual Fuel Consumption'!B82</f>
        <v>998860</v>
      </c>
      <c r="U12" s="2" t="s">
        <v>9</v>
      </c>
      <c r="V12" s="13" t="s">
        <v>10</v>
      </c>
      <c r="W12" s="157">
        <v>3</v>
      </c>
      <c r="X12" t="s">
        <v>87</v>
      </c>
      <c r="Y12" s="2" t="s">
        <v>4</v>
      </c>
      <c r="Z12">
        <v>1.01</v>
      </c>
    </row>
    <row r="13" spans="13:26" x14ac:dyDescent="0.35">
      <c r="M13" s="2"/>
      <c r="N13" s="12" t="s">
        <v>1</v>
      </c>
      <c r="O13" s="158">
        <f>((P12+R12+T12)/3)*1.01</f>
        <v>1030678.0666666668</v>
      </c>
      <c r="P13" s="7" t="s">
        <v>83</v>
      </c>
      <c r="Q13" s="2"/>
      <c r="R13" s="2"/>
      <c r="S13" s="2"/>
      <c r="T13" s="2"/>
      <c r="U13" s="2"/>
      <c r="V13" s="4"/>
      <c r="W13" s="4"/>
    </row>
    <row r="14" spans="13:26" x14ac:dyDescent="0.35"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3:26" ht="16.5" x14ac:dyDescent="0.35">
      <c r="M15" s="14" t="s">
        <v>95</v>
      </c>
      <c r="N15" s="15" t="s">
        <v>1</v>
      </c>
      <c r="O15" s="14" t="s">
        <v>8</v>
      </c>
      <c r="P15" s="16" t="s">
        <v>89</v>
      </c>
      <c r="Q15" s="17" t="s">
        <v>11</v>
      </c>
      <c r="R15" s="16" t="s">
        <v>90</v>
      </c>
      <c r="S15" s="17" t="s">
        <v>11</v>
      </c>
      <c r="T15" s="16" t="s">
        <v>91</v>
      </c>
      <c r="U15" s="14" t="s">
        <v>9</v>
      </c>
      <c r="V15" s="15" t="s">
        <v>10</v>
      </c>
      <c r="W15" s="154">
        <v>3</v>
      </c>
    </row>
    <row r="16" spans="13:26" x14ac:dyDescent="0.35">
      <c r="M16" s="14"/>
      <c r="N16" s="14"/>
      <c r="O16" s="14" t="s">
        <v>8</v>
      </c>
      <c r="P16" s="154">
        <f>'Annual Aluminium Production'!B4</f>
        <v>4730437.92</v>
      </c>
      <c r="Q16" s="155" t="s">
        <v>11</v>
      </c>
      <c r="R16" s="154">
        <f>'Annual Aluminium Production'!B3</f>
        <v>4659448.0999999996</v>
      </c>
      <c r="S16" s="155" t="s">
        <v>11</v>
      </c>
      <c r="T16" s="154">
        <f>'Annual Aluminium Production'!B2</f>
        <v>4107026.82</v>
      </c>
      <c r="U16" s="14" t="s">
        <v>9</v>
      </c>
      <c r="V16" s="15" t="s">
        <v>10</v>
      </c>
      <c r="W16" s="154">
        <v>3</v>
      </c>
    </row>
    <row r="17" spans="13:23" x14ac:dyDescent="0.35">
      <c r="M17" s="14"/>
      <c r="N17" s="15" t="s">
        <v>1</v>
      </c>
      <c r="O17" s="169">
        <f>(P16+R16+T16)/W16</f>
        <v>4498970.9466666663</v>
      </c>
      <c r="P17" s="156" t="s">
        <v>83</v>
      </c>
      <c r="Q17" s="14"/>
      <c r="R17" s="14"/>
      <c r="S17" s="14"/>
      <c r="T17" s="14"/>
      <c r="U17" s="14"/>
      <c r="V17" s="14"/>
      <c r="W17" s="14"/>
    </row>
    <row r="19" spans="13:23" x14ac:dyDescent="0.35">
      <c r="O19" s="157">
        <f>AVERAGE(P12,R12,T12)</f>
        <v>1020473.3333333334</v>
      </c>
    </row>
    <row r="21" spans="13:23" x14ac:dyDescent="0.35">
      <c r="S21" t="s">
        <v>113</v>
      </c>
    </row>
    <row r="25" spans="13:23" x14ac:dyDescent="0.35">
      <c r="R25" s="11"/>
    </row>
    <row r="27" spans="13:23" x14ac:dyDescent="0.35">
      <c r="R27" s="11"/>
    </row>
    <row r="28" spans="13:23" x14ac:dyDescent="0.35">
      <c r="R28" s="11"/>
    </row>
    <row r="29" spans="13:23" x14ac:dyDescent="0.35">
      <c r="R29" s="11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8A18F-1C24-4FF8-949B-E3D2BBFEE75D}">
  <dimension ref="L2:V10"/>
  <sheetViews>
    <sheetView topLeftCell="G1" workbookViewId="0">
      <selection activeCell="N9" sqref="N9"/>
    </sheetView>
  </sheetViews>
  <sheetFormatPr defaultRowHeight="14.5" x14ac:dyDescent="0.35"/>
  <cols>
    <col min="14" max="14" width="11.26953125" bestFit="1" customWidth="1"/>
  </cols>
  <sheetData>
    <row r="2" spans="12:22" x14ac:dyDescent="0.35">
      <c r="Q2" s="5"/>
      <c r="R2" s="4" t="s">
        <v>5</v>
      </c>
      <c r="S2" s="18"/>
      <c r="T2" s="18"/>
      <c r="U2" s="18"/>
    </row>
    <row r="3" spans="12:22" x14ac:dyDescent="0.35">
      <c r="Q3" s="6"/>
      <c r="R3" s="4" t="s">
        <v>6</v>
      </c>
      <c r="S3" s="18"/>
      <c r="T3" s="18"/>
      <c r="U3" s="18"/>
    </row>
    <row r="4" spans="12:22" ht="16.5" x14ac:dyDescent="0.45">
      <c r="L4" s="18" t="s">
        <v>3</v>
      </c>
      <c r="M4" s="18" t="s">
        <v>1</v>
      </c>
      <c r="N4" s="165" t="s">
        <v>109</v>
      </c>
      <c r="O4" s="18"/>
      <c r="P4" s="18"/>
      <c r="Q4" s="18"/>
      <c r="R4" s="18"/>
      <c r="S4" s="18"/>
      <c r="T4" s="18"/>
      <c r="U4" s="18"/>
    </row>
    <row r="5" spans="12:22" x14ac:dyDescent="0.35">
      <c r="L5" s="18"/>
      <c r="M5" s="18" t="s">
        <v>1</v>
      </c>
      <c r="N5" s="171">
        <f>N10</f>
        <v>1531.1995919999999</v>
      </c>
      <c r="O5" t="s">
        <v>106</v>
      </c>
      <c r="P5" s="18"/>
      <c r="Q5" s="18"/>
    </row>
    <row r="6" spans="12:22" x14ac:dyDescent="0.35">
      <c r="L6" s="18"/>
      <c r="M6" s="18"/>
      <c r="N6" s="18"/>
      <c r="O6" s="18"/>
      <c r="P6" s="18"/>
      <c r="Q6" s="18"/>
    </row>
    <row r="7" spans="12:22" x14ac:dyDescent="0.35">
      <c r="L7" s="18"/>
      <c r="M7" s="18"/>
      <c r="N7" s="18"/>
      <c r="O7" s="18"/>
      <c r="P7" s="18"/>
      <c r="Q7" s="18"/>
    </row>
    <row r="8" spans="12:22" ht="46.5" x14ac:dyDescent="0.45">
      <c r="L8" s="18" t="s">
        <v>12</v>
      </c>
      <c r="M8" s="18" t="s">
        <v>1</v>
      </c>
      <c r="N8" s="167" t="s">
        <v>111</v>
      </c>
      <c r="O8" s="18" t="s">
        <v>4</v>
      </c>
      <c r="P8" s="168" t="s">
        <v>112</v>
      </c>
      <c r="Q8" s="18" t="s">
        <v>4</v>
      </c>
      <c r="R8" s="18" t="s">
        <v>8</v>
      </c>
      <c r="S8" s="18">
        <v>1</v>
      </c>
      <c r="T8" s="18" t="s">
        <v>11</v>
      </c>
      <c r="U8" s="166" t="s">
        <v>110</v>
      </c>
      <c r="V8" s="18" t="s">
        <v>9</v>
      </c>
    </row>
    <row r="9" spans="12:22" x14ac:dyDescent="0.35">
      <c r="L9" s="18"/>
      <c r="M9" s="18" t="s">
        <v>1</v>
      </c>
      <c r="N9" s="171">
        <f>2181196/1000</f>
        <v>2181.1959999999999</v>
      </c>
      <c r="O9" s="18" t="s">
        <v>4</v>
      </c>
      <c r="P9" s="19">
        <v>0.58499999999999996</v>
      </c>
      <c r="Q9" s="18" t="s">
        <v>4</v>
      </c>
      <c r="R9" s="18" t="s">
        <v>8</v>
      </c>
      <c r="S9" s="18">
        <v>1</v>
      </c>
      <c r="T9" s="18" t="s">
        <v>11</v>
      </c>
      <c r="U9" s="19">
        <v>0.2</v>
      </c>
      <c r="V9" s="18" t="s">
        <v>9</v>
      </c>
    </row>
    <row r="10" spans="12:22" x14ac:dyDescent="0.35">
      <c r="L10" s="18"/>
      <c r="M10" s="18" t="s">
        <v>1</v>
      </c>
      <c r="N10" s="172">
        <f>N9*P9*(S9+U9)</f>
        <v>1531.1995919999999</v>
      </c>
      <c r="O10" s="20" t="s">
        <v>106</v>
      </c>
      <c r="P10" s="18"/>
      <c r="Q10" s="1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899F7-D001-45D5-9951-3795E01B6EB3}">
  <dimension ref="A1:AA60"/>
  <sheetViews>
    <sheetView workbookViewId="0">
      <selection activeCell="C3" sqref="C3"/>
    </sheetView>
  </sheetViews>
  <sheetFormatPr defaultRowHeight="14.5" x14ac:dyDescent="0.35"/>
  <cols>
    <col min="2" max="2" width="12.90625" customWidth="1"/>
    <col min="3" max="3" width="10.36328125" bestFit="1" customWidth="1"/>
    <col min="5" max="5" width="11.36328125" bestFit="1" customWidth="1"/>
    <col min="6" max="7" width="9.26953125" bestFit="1" customWidth="1"/>
    <col min="8" max="8" width="9.453125" bestFit="1" customWidth="1"/>
    <col min="9" max="9" width="9" bestFit="1" customWidth="1"/>
    <col min="10" max="10" width="9.90625" bestFit="1" customWidth="1"/>
    <col min="12" max="12" width="9.453125" bestFit="1" customWidth="1"/>
    <col min="14" max="14" width="11.1796875" bestFit="1" customWidth="1"/>
    <col min="15" max="15" width="11.81640625" bestFit="1" customWidth="1"/>
    <col min="19" max="19" width="36.36328125" bestFit="1" customWidth="1"/>
  </cols>
  <sheetData>
    <row r="1" spans="1:27" ht="58.5" customHeight="1" x14ac:dyDescent="0.35">
      <c r="A1" s="22" t="s">
        <v>13</v>
      </c>
      <c r="B1" s="23" t="s">
        <v>84</v>
      </c>
    </row>
    <row r="2" spans="1:27" x14ac:dyDescent="0.35">
      <c r="A2" s="25">
        <v>2018</v>
      </c>
      <c r="B2" s="153">
        <f>S15*1000</f>
        <v>4107026.82</v>
      </c>
    </row>
    <row r="3" spans="1:27" x14ac:dyDescent="0.35">
      <c r="A3" s="25">
        <v>2017</v>
      </c>
      <c r="B3" s="153">
        <f>S33*1000</f>
        <v>4659448.0999999996</v>
      </c>
      <c r="C3" s="152">
        <f>AVERAGE(B2:B4)</f>
        <v>4498970.9466666663</v>
      </c>
    </row>
    <row r="4" spans="1:27" x14ac:dyDescent="0.35">
      <c r="A4" s="25">
        <v>2016</v>
      </c>
      <c r="B4" s="153">
        <f>S52*1000</f>
        <v>4730437.92</v>
      </c>
    </row>
    <row r="5" spans="1:27" ht="87" x14ac:dyDescent="0.35">
      <c r="E5" s="26" t="s">
        <v>14</v>
      </c>
      <c r="F5" s="26" t="s">
        <v>15</v>
      </c>
      <c r="G5" s="26" t="s">
        <v>16</v>
      </c>
      <c r="H5" s="26" t="s">
        <v>17</v>
      </c>
      <c r="I5" s="26" t="s">
        <v>18</v>
      </c>
      <c r="J5" s="26" t="s">
        <v>19</v>
      </c>
      <c r="K5" s="26" t="s">
        <v>20</v>
      </c>
      <c r="L5" s="27" t="s">
        <v>21</v>
      </c>
      <c r="M5" s="28" t="s">
        <v>22</v>
      </c>
      <c r="N5" s="29" t="s">
        <v>23</v>
      </c>
      <c r="O5" s="30" t="s">
        <v>24</v>
      </c>
      <c r="P5" s="31"/>
      <c r="Q5" s="31"/>
      <c r="R5" s="31"/>
      <c r="S5" s="32"/>
      <c r="T5" s="33"/>
      <c r="U5" s="34"/>
      <c r="V5" s="34"/>
      <c r="W5" s="34"/>
      <c r="X5" s="34"/>
      <c r="Y5" s="34"/>
      <c r="Z5" s="35" t="s">
        <v>25</v>
      </c>
      <c r="AA5" s="36" t="s">
        <v>26</v>
      </c>
    </row>
    <row r="6" spans="1:27" x14ac:dyDescent="0.35">
      <c r="E6" s="37">
        <v>2018</v>
      </c>
      <c r="F6" s="181"/>
      <c r="G6" s="182"/>
      <c r="H6" s="182"/>
      <c r="I6" s="182"/>
      <c r="J6" s="182"/>
      <c r="K6" s="182"/>
      <c r="L6" s="182"/>
      <c r="M6" s="28"/>
      <c r="N6" s="29"/>
      <c r="O6" s="31"/>
      <c r="P6" s="31"/>
      <c r="Q6" s="31"/>
      <c r="R6" s="31"/>
      <c r="S6" s="178" t="s">
        <v>27</v>
      </c>
      <c r="T6" s="179"/>
      <c r="U6" s="179"/>
      <c r="V6" s="179"/>
      <c r="W6" s="179"/>
      <c r="X6" s="179"/>
      <c r="Y6" s="180"/>
      <c r="Z6" s="38"/>
      <c r="AA6" s="39"/>
    </row>
    <row r="7" spans="1:27" x14ac:dyDescent="0.35">
      <c r="E7" s="40" t="s">
        <v>28</v>
      </c>
      <c r="F7" s="41">
        <f>14701+4613+8089+19356+10788+25121</f>
        <v>82668</v>
      </c>
      <c r="G7" s="41">
        <f>14981+10943+25756+26038+25996</f>
        <v>103714</v>
      </c>
      <c r="H7" s="41">
        <f>19620+56820+18361+29730+67230+36230+57387+32849+58269+15980+38924+56571+38620+65240+27504+17605+18960+18470+36380</f>
        <v>710750</v>
      </c>
      <c r="I7" s="41">
        <f>31412+0</f>
        <v>31412</v>
      </c>
      <c r="J7" s="41">
        <v>263697</v>
      </c>
      <c r="K7" s="42">
        <v>77970</v>
      </c>
      <c r="L7" s="43">
        <v>596320</v>
      </c>
      <c r="M7" s="44">
        <f>SUM(J7:L7)</f>
        <v>937987</v>
      </c>
      <c r="N7" s="45">
        <f t="shared" ref="N7:N18" si="0">M7+(H7*0.22)+G7+F7</f>
        <v>1280734</v>
      </c>
      <c r="O7" s="46">
        <f>F7+G7+(H7*0.22)</f>
        <v>342747</v>
      </c>
      <c r="P7" s="47">
        <f>N7/1000</f>
        <v>1280.7339999999999</v>
      </c>
      <c r="Q7" s="47">
        <f>L7/1000</f>
        <v>596.32000000000005</v>
      </c>
      <c r="R7" s="48"/>
      <c r="S7" s="32">
        <f>N19/1000</f>
        <v>15116.84582</v>
      </c>
      <c r="T7" s="175">
        <f>100%</f>
        <v>1</v>
      </c>
      <c r="U7" s="176"/>
      <c r="V7" s="176"/>
      <c r="W7" s="176"/>
      <c r="X7" s="176"/>
      <c r="Y7" s="177"/>
      <c r="Z7" s="38"/>
      <c r="AA7" s="39"/>
    </row>
    <row r="8" spans="1:27" x14ac:dyDescent="0.35">
      <c r="E8" s="40" t="s">
        <v>29</v>
      </c>
      <c r="F8" s="41">
        <f>19340+17006+19835+27742+9962</f>
        <v>93885</v>
      </c>
      <c r="G8" s="41">
        <f>26081+0</f>
        <v>26081</v>
      </c>
      <c r="H8" s="41">
        <f>18627+14913+35629+24660+38712+79800+14957+18229+63120+37425+60181+35880+18109+18649+73000+18864+76420+105830+23033+18128+18320+21847</f>
        <v>834333</v>
      </c>
      <c r="I8" s="41">
        <v>48110</v>
      </c>
      <c r="J8" s="41">
        <v>340000</v>
      </c>
      <c r="K8" s="42">
        <v>20100</v>
      </c>
      <c r="L8" s="43">
        <v>549310</v>
      </c>
      <c r="M8" s="44">
        <f t="shared" ref="M8:M19" si="1">SUM(J8:L8)</f>
        <v>909410</v>
      </c>
      <c r="N8" s="45">
        <f t="shared" si="0"/>
        <v>1212929.26</v>
      </c>
      <c r="O8" s="46">
        <f t="shared" ref="O8:O18" si="2">F8+G8+(H8*0.22)</f>
        <v>303519.26</v>
      </c>
      <c r="P8" s="47">
        <f t="shared" ref="P8:P19" si="3">N8/1000</f>
        <v>1212.9292600000001</v>
      </c>
      <c r="Q8" s="47">
        <f t="shared" ref="Q8:Q19" si="4">L8/1000</f>
        <v>549.30999999999995</v>
      </c>
      <c r="R8" s="48"/>
      <c r="S8" s="178" t="s">
        <v>30</v>
      </c>
      <c r="T8" s="179"/>
      <c r="U8" s="179"/>
      <c r="V8" s="179"/>
      <c r="W8" s="179"/>
      <c r="X8" s="179"/>
      <c r="Y8" s="180"/>
      <c r="Z8" s="38"/>
      <c r="AA8" s="39"/>
    </row>
    <row r="9" spans="1:27" x14ac:dyDescent="0.35">
      <c r="E9" s="40" t="s">
        <v>31</v>
      </c>
      <c r="F9" s="41">
        <f>22550+12208+20053</f>
        <v>54811</v>
      </c>
      <c r="G9" s="41">
        <f>25985+26003+26168+26048</f>
        <v>104204</v>
      </c>
      <c r="H9" s="41">
        <f>19406+58400+80072+21020+55317+54808+35200+38069+65634+17180+39521+52700+19208+19919+40180+24939</f>
        <v>641573</v>
      </c>
      <c r="I9" s="41">
        <v>70490</v>
      </c>
      <c r="J9" s="41">
        <f>63802+200000+63442</f>
        <v>327244</v>
      </c>
      <c r="K9" s="42">
        <v>78280</v>
      </c>
      <c r="L9" s="43">
        <v>588580</v>
      </c>
      <c r="M9" s="44">
        <f t="shared" si="1"/>
        <v>994104</v>
      </c>
      <c r="N9" s="45">
        <f t="shared" si="0"/>
        <v>1294265.06</v>
      </c>
      <c r="O9" s="46">
        <f t="shared" si="2"/>
        <v>300161.06</v>
      </c>
      <c r="P9" s="47">
        <f t="shared" si="3"/>
        <v>1294.2650599999999</v>
      </c>
      <c r="Q9" s="47">
        <f t="shared" si="4"/>
        <v>588.58000000000004</v>
      </c>
      <c r="R9" s="48"/>
      <c r="S9" s="32">
        <f>L19/1000</f>
        <v>6716.9650000000001</v>
      </c>
      <c r="T9" s="175">
        <f>(S9/S7)</f>
        <v>0.44433640985563744</v>
      </c>
      <c r="U9" s="176"/>
      <c r="V9" s="176"/>
      <c r="W9" s="176"/>
      <c r="X9" s="176"/>
      <c r="Y9" s="177"/>
      <c r="Z9" s="38"/>
      <c r="AA9" s="39"/>
    </row>
    <row r="10" spans="1:27" x14ac:dyDescent="0.35">
      <c r="E10" s="40" t="s">
        <v>32</v>
      </c>
      <c r="F10" s="41">
        <f>20175+20898+20229+5214+21031+18963+20425</f>
        <v>126935</v>
      </c>
      <c r="G10" s="41">
        <f>26042+25997</f>
        <v>52039</v>
      </c>
      <c r="H10" s="41">
        <f>18439+37033+69720+57524+14980+16207+56991+19066+14997+79172+18633+55740+19738+17640+82075+19050+50330+17840+33603+30480+19361</f>
        <v>748619</v>
      </c>
      <c r="I10" s="41">
        <v>80296</v>
      </c>
      <c r="J10" s="41">
        <v>84043</v>
      </c>
      <c r="K10" s="42">
        <v>38850</v>
      </c>
      <c r="L10" s="43">
        <v>552777</v>
      </c>
      <c r="M10" s="44">
        <f t="shared" si="1"/>
        <v>675670</v>
      </c>
      <c r="N10" s="45">
        <f t="shared" si="0"/>
        <v>1019340.1799999999</v>
      </c>
      <c r="O10" s="46">
        <f t="shared" si="2"/>
        <v>343670.18</v>
      </c>
      <c r="P10" s="47">
        <f t="shared" si="3"/>
        <v>1019.3401799999999</v>
      </c>
      <c r="Q10" s="47">
        <f t="shared" si="4"/>
        <v>552.77700000000004</v>
      </c>
      <c r="R10" s="48"/>
      <c r="S10" s="178" t="s">
        <v>33</v>
      </c>
      <c r="T10" s="179"/>
      <c r="U10" s="179"/>
      <c r="V10" s="179"/>
      <c r="W10" s="179"/>
      <c r="X10" s="179"/>
      <c r="Y10" s="180"/>
      <c r="Z10" s="38"/>
      <c r="AA10" s="39"/>
    </row>
    <row r="11" spans="1:27" x14ac:dyDescent="0.35">
      <c r="E11" s="40" t="s">
        <v>34</v>
      </c>
      <c r="F11" s="41">
        <f>15210+20496+27580+13598</f>
        <v>76884</v>
      </c>
      <c r="G11" s="41">
        <f>26172+26611+26074</f>
        <v>78857</v>
      </c>
      <c r="H11" s="41">
        <f>41382+17342+69633+17437+32080+54560+90603+38002+47160+15952+91020+36091+92380+81496+48280+81185+24211</f>
        <v>878814</v>
      </c>
      <c r="I11" s="41">
        <v>58546</v>
      </c>
      <c r="J11" s="41">
        <v>148977</v>
      </c>
      <c r="K11" s="42">
        <v>40990</v>
      </c>
      <c r="L11" s="43">
        <v>925450</v>
      </c>
      <c r="M11" s="44">
        <f t="shared" si="1"/>
        <v>1115417</v>
      </c>
      <c r="N11" s="45">
        <f t="shared" si="0"/>
        <v>1464497.08</v>
      </c>
      <c r="O11" s="46">
        <f t="shared" si="2"/>
        <v>349080.07999999996</v>
      </c>
      <c r="P11" s="47">
        <f t="shared" si="3"/>
        <v>1464.4970800000001</v>
      </c>
      <c r="Q11" s="47">
        <f t="shared" si="4"/>
        <v>925.45</v>
      </c>
      <c r="R11" s="48"/>
      <c r="S11" s="32">
        <f>K19/1000</f>
        <v>551.89</v>
      </c>
      <c r="T11" s="175">
        <f>S11/S7</f>
        <v>3.6508277359674754E-2</v>
      </c>
      <c r="U11" s="176"/>
      <c r="V11" s="176"/>
      <c r="W11" s="176"/>
      <c r="X11" s="176"/>
      <c r="Y11" s="177"/>
      <c r="Z11" s="38"/>
      <c r="AA11" s="39"/>
    </row>
    <row r="12" spans="1:27" x14ac:dyDescent="0.35">
      <c r="E12" s="40" t="s">
        <v>35</v>
      </c>
      <c r="F12" s="41">
        <f>20918+11618+27754+14635+10950+27624</f>
        <v>113499</v>
      </c>
      <c r="G12" s="41">
        <f>26013+26187+26215+26012</f>
        <v>104427</v>
      </c>
      <c r="H12" s="41">
        <f>17644+53820+60617+14200+17534+77040+20240+47370+22070+69140+70808+16640+35630+42207+35900+20115+96480+19501+103850+20124</f>
        <v>860930</v>
      </c>
      <c r="I12" s="41">
        <v>89930</v>
      </c>
      <c r="J12" s="41">
        <f>200000+200000+200000</f>
        <v>600000</v>
      </c>
      <c r="K12" s="42">
        <v>60950</v>
      </c>
      <c r="L12" s="43">
        <v>653480</v>
      </c>
      <c r="M12" s="44">
        <f t="shared" si="1"/>
        <v>1314430</v>
      </c>
      <c r="N12" s="45">
        <f t="shared" si="0"/>
        <v>1721760.6</v>
      </c>
      <c r="O12" s="46">
        <f t="shared" si="2"/>
        <v>407330.6</v>
      </c>
      <c r="P12" s="47">
        <f t="shared" si="3"/>
        <v>1721.7606000000001</v>
      </c>
      <c r="Q12" s="47">
        <f t="shared" si="4"/>
        <v>653.48</v>
      </c>
      <c r="R12" s="48"/>
      <c r="S12" s="178" t="s">
        <v>36</v>
      </c>
      <c r="T12" s="179"/>
      <c r="U12" s="179"/>
      <c r="V12" s="179"/>
      <c r="W12" s="179"/>
      <c r="X12" s="179"/>
      <c r="Y12" s="180"/>
      <c r="Z12" s="38"/>
      <c r="AA12" s="39"/>
    </row>
    <row r="13" spans="1:27" x14ac:dyDescent="0.35">
      <c r="E13" s="40" t="s">
        <v>37</v>
      </c>
      <c r="F13" s="41">
        <f>18757+14897+23113+18782</f>
        <v>75549</v>
      </c>
      <c r="G13" s="41">
        <f>26234+26335</f>
        <v>52569</v>
      </c>
      <c r="H13" s="41">
        <f>55408+27860+81360+16474+16999+74820+89760+20641+14810+75780+63104+21600+20227+62560+38002+18486+76370+11280+99551+76560+20869+34407+35679+24651</f>
        <v>1077258</v>
      </c>
      <c r="I13" s="41">
        <v>99846</v>
      </c>
      <c r="J13" s="41">
        <f>200000+200000+200000</f>
        <v>600000</v>
      </c>
      <c r="K13" s="42">
        <v>54350</v>
      </c>
      <c r="L13" s="43">
        <v>490888</v>
      </c>
      <c r="M13" s="44">
        <f t="shared" si="1"/>
        <v>1145238</v>
      </c>
      <c r="N13" s="45">
        <f t="shared" si="0"/>
        <v>1510352.76</v>
      </c>
      <c r="O13" s="46">
        <f t="shared" si="2"/>
        <v>365114.76</v>
      </c>
      <c r="P13" s="47">
        <f t="shared" si="3"/>
        <v>1510.35276</v>
      </c>
      <c r="Q13" s="47">
        <f t="shared" si="4"/>
        <v>490.88799999999998</v>
      </c>
      <c r="R13" s="48"/>
      <c r="S13" s="32">
        <f>J19/1000</f>
        <v>3740.9639999999999</v>
      </c>
      <c r="T13" s="175">
        <f>S13/S7</f>
        <v>0.24746987860725564</v>
      </c>
      <c r="U13" s="176"/>
      <c r="V13" s="176"/>
      <c r="W13" s="176"/>
      <c r="X13" s="176"/>
      <c r="Y13" s="177"/>
      <c r="Z13" s="38"/>
      <c r="AA13" s="39"/>
    </row>
    <row r="14" spans="1:27" x14ac:dyDescent="0.35">
      <c r="E14" s="40" t="s">
        <v>38</v>
      </c>
      <c r="F14" s="41">
        <f>26997+27003+27083+27245</f>
        <v>108328</v>
      </c>
      <c r="G14" s="41">
        <f>26195+26516</f>
        <v>52711</v>
      </c>
      <c r="H14" s="41">
        <f>54902+36280+52100+85020+47063+36676+28700+74966+46520+18870+56722+31840+93665+52997+15260</f>
        <v>731581</v>
      </c>
      <c r="I14" s="41">
        <v>47525</v>
      </c>
      <c r="J14" s="41">
        <f>200000+100000</f>
        <v>300000</v>
      </c>
      <c r="K14" s="42">
        <v>38540</v>
      </c>
      <c r="L14" s="43">
        <v>667750</v>
      </c>
      <c r="M14" s="44">
        <f t="shared" si="1"/>
        <v>1006290</v>
      </c>
      <c r="N14" s="45">
        <f t="shared" si="0"/>
        <v>1328276.82</v>
      </c>
      <c r="O14" s="46">
        <f t="shared" si="2"/>
        <v>321986.82</v>
      </c>
      <c r="P14" s="47">
        <f t="shared" si="3"/>
        <v>1328.27682</v>
      </c>
      <c r="Q14" s="47">
        <f t="shared" si="4"/>
        <v>667.75</v>
      </c>
      <c r="R14" s="48"/>
      <c r="S14" s="178" t="s">
        <v>39</v>
      </c>
      <c r="T14" s="179"/>
      <c r="U14" s="179"/>
      <c r="V14" s="179"/>
      <c r="W14" s="179"/>
      <c r="X14" s="179"/>
      <c r="Y14" s="180"/>
      <c r="Z14" s="38"/>
      <c r="AA14" s="39"/>
    </row>
    <row r="15" spans="1:27" x14ac:dyDescent="0.35">
      <c r="E15" s="40" t="s">
        <v>40</v>
      </c>
      <c r="F15" s="41">
        <f>12656+26357+28214+27780</f>
        <v>95007</v>
      </c>
      <c r="G15" s="41">
        <f>26062+26133</f>
        <v>52195</v>
      </c>
      <c r="H15" s="41">
        <f>36193+82892+40700+15285+73251+53740+57022+18768+59101+15009+35250+18860+19242+7672+74956+46328+11420+21635+88084+37828+72700+39014+42265</f>
        <v>967215</v>
      </c>
      <c r="I15" s="41">
        <v>58585</v>
      </c>
      <c r="J15" s="41">
        <f>120000+200000</f>
        <v>320000</v>
      </c>
      <c r="K15" s="42">
        <v>40660</v>
      </c>
      <c r="L15" s="43">
        <v>453050</v>
      </c>
      <c r="M15" s="44">
        <f t="shared" si="1"/>
        <v>813710</v>
      </c>
      <c r="N15" s="45">
        <f t="shared" si="0"/>
        <v>1173699.3</v>
      </c>
      <c r="O15" s="46">
        <f t="shared" si="2"/>
        <v>359989.3</v>
      </c>
      <c r="P15" s="47">
        <f t="shared" si="3"/>
        <v>1173.6993</v>
      </c>
      <c r="Q15" s="47">
        <f t="shared" si="4"/>
        <v>453.05</v>
      </c>
      <c r="R15" s="48"/>
      <c r="S15" s="49">
        <f>(F20+G20+H20)/1000</f>
        <v>4107.02682</v>
      </c>
      <c r="T15" s="175">
        <f>S15/S7</f>
        <v>0.27168543417743213</v>
      </c>
      <c r="U15" s="176"/>
      <c r="V15" s="176"/>
      <c r="W15" s="176"/>
      <c r="X15" s="176"/>
      <c r="Y15" s="177"/>
      <c r="Z15" s="38"/>
      <c r="AA15" s="39"/>
    </row>
    <row r="16" spans="1:27" x14ac:dyDescent="0.35">
      <c r="E16" s="40" t="s">
        <v>41</v>
      </c>
      <c r="F16" s="41">
        <f>27147+24366+10169+27798+22154</f>
        <v>111634</v>
      </c>
      <c r="G16" s="41">
        <f>26081+26364</f>
        <v>52445</v>
      </c>
      <c r="H16" s="41">
        <f>68400+18440+30498+43680+15399+19410+77328+69160+27972+19405+18430+18440+21448+51900+19110+21721+53641+40900+55746+37040+36080+15173+35694+39520+19324+48900+94758+54991+52640</f>
        <v>1125148</v>
      </c>
      <c r="I16" s="41">
        <v>35490</v>
      </c>
      <c r="J16" s="41">
        <f>140000+200000+160000+140000</f>
        <v>640000</v>
      </c>
      <c r="K16" s="42">
        <v>40270</v>
      </c>
      <c r="L16" s="43">
        <v>707270</v>
      </c>
      <c r="M16" s="44">
        <f t="shared" si="1"/>
        <v>1387540</v>
      </c>
      <c r="N16" s="45">
        <f t="shared" si="0"/>
        <v>1799151.56</v>
      </c>
      <c r="O16" s="46">
        <f t="shared" si="2"/>
        <v>411611.56</v>
      </c>
      <c r="P16" s="47">
        <f t="shared" si="3"/>
        <v>1799.15156</v>
      </c>
      <c r="Q16" s="47">
        <f t="shared" si="4"/>
        <v>707.27</v>
      </c>
      <c r="R16" s="48"/>
      <c r="S16" s="178" t="s">
        <v>42</v>
      </c>
      <c r="T16" s="179"/>
      <c r="U16" s="179"/>
      <c r="V16" s="179"/>
      <c r="W16" s="179"/>
      <c r="X16" s="179"/>
      <c r="Y16" s="180"/>
      <c r="Z16" s="38"/>
      <c r="AA16" s="39"/>
    </row>
    <row r="17" spans="5:27" x14ac:dyDescent="0.35">
      <c r="E17" s="40" t="s">
        <v>43</v>
      </c>
      <c r="F17" s="41">
        <f>12709+27894+20797+20674+20604</f>
        <v>102678</v>
      </c>
      <c r="G17" s="41">
        <f>26146+26385+26157</f>
        <v>78688</v>
      </c>
      <c r="H17" s="41">
        <f>56341+21094+53240+57999+27900+55278+20080+29420+15033+18076+39879+25900+23211+17849+52420+57824+35679+62180+35158+42060</f>
        <v>746621</v>
      </c>
      <c r="I17" s="41">
        <v>145060</v>
      </c>
      <c r="J17" s="41">
        <f>117003+0</f>
        <v>117003</v>
      </c>
      <c r="K17" s="42">
        <v>40420</v>
      </c>
      <c r="L17" s="43">
        <v>190370</v>
      </c>
      <c r="M17" s="44">
        <f t="shared" si="1"/>
        <v>347793</v>
      </c>
      <c r="N17" s="45">
        <f t="shared" si="0"/>
        <v>693415.62</v>
      </c>
      <c r="O17" s="46">
        <f t="shared" si="2"/>
        <v>345622.62</v>
      </c>
      <c r="P17" s="47">
        <f t="shared" si="3"/>
        <v>693.41561999999999</v>
      </c>
      <c r="Q17" s="47">
        <f t="shared" si="4"/>
        <v>190.37</v>
      </c>
      <c r="R17" s="48"/>
      <c r="S17" s="32">
        <f>S15+S13+S11</f>
        <v>8399.8808200000003</v>
      </c>
      <c r="T17" s="175">
        <f>T15+T13+T11</f>
        <v>0.55566359014436251</v>
      </c>
      <c r="U17" s="176"/>
      <c r="V17" s="176"/>
      <c r="W17" s="176"/>
      <c r="X17" s="176"/>
      <c r="Y17" s="177"/>
      <c r="Z17" s="38"/>
      <c r="AA17" s="39"/>
    </row>
    <row r="18" spans="5:27" ht="15" thickBot="1" x14ac:dyDescent="0.4">
      <c r="E18" s="50" t="s">
        <v>44</v>
      </c>
      <c r="F18" s="51">
        <f>13060+15011+12511+9408+21816+0</f>
        <v>71806</v>
      </c>
      <c r="G18" s="51">
        <f>26688+26076+0</f>
        <v>52764</v>
      </c>
      <c r="H18" s="51">
        <f>35709+21909+95771+95781+18700+15931+55897+16600+52400+14890+49700+18554+11460+40821+35820+18346+0</f>
        <v>598289</v>
      </c>
      <c r="I18" s="51">
        <v>107794</v>
      </c>
      <c r="J18" s="51">
        <v>0</v>
      </c>
      <c r="K18" s="52">
        <v>20510</v>
      </c>
      <c r="L18" s="53">
        <v>341720</v>
      </c>
      <c r="M18" s="54">
        <f t="shared" si="1"/>
        <v>362230</v>
      </c>
      <c r="N18" s="45">
        <f t="shared" si="0"/>
        <v>618423.57999999996</v>
      </c>
      <c r="O18" s="46">
        <f t="shared" si="2"/>
        <v>256193.58</v>
      </c>
      <c r="P18" s="47">
        <f t="shared" si="3"/>
        <v>618.4235799999999</v>
      </c>
      <c r="Q18" s="47">
        <f t="shared" si="4"/>
        <v>341.72</v>
      </c>
      <c r="R18" s="48"/>
      <c r="S18" s="178" t="s">
        <v>45</v>
      </c>
      <c r="T18" s="179"/>
      <c r="U18" s="179"/>
      <c r="V18" s="179"/>
      <c r="W18" s="179"/>
      <c r="X18" s="179"/>
      <c r="Y18" s="180"/>
      <c r="Z18" s="38"/>
      <c r="AA18" s="39"/>
    </row>
    <row r="19" spans="5:27" ht="15" thickBot="1" x14ac:dyDescent="0.4">
      <c r="E19" s="55" t="s">
        <v>46</v>
      </c>
      <c r="F19" s="56"/>
      <c r="G19" s="57"/>
      <c r="H19" s="58">
        <f>SUM(H7:H18)</f>
        <v>9921131</v>
      </c>
      <c r="I19" s="59">
        <f>SUM(I7:I18)</f>
        <v>873084</v>
      </c>
      <c r="J19" s="59">
        <f>SUM(J7:J18)</f>
        <v>3740964</v>
      </c>
      <c r="K19" s="59">
        <f>SUM(K7:K18)</f>
        <v>551890</v>
      </c>
      <c r="L19" s="59">
        <f>SUM(L7:L18)</f>
        <v>6716965</v>
      </c>
      <c r="M19" s="60">
        <f t="shared" si="1"/>
        <v>11009819</v>
      </c>
      <c r="N19" s="45">
        <f>M19+(H19*0.22)+G20+F20</f>
        <v>15116845.82</v>
      </c>
      <c r="O19" s="46">
        <f>F20+G20+(H19*0.22)</f>
        <v>4107026.82</v>
      </c>
      <c r="P19" s="47">
        <f t="shared" si="3"/>
        <v>15116.84582</v>
      </c>
      <c r="Q19" s="47">
        <f t="shared" si="4"/>
        <v>6716.9650000000001</v>
      </c>
      <c r="R19" s="31"/>
      <c r="S19" s="32">
        <f>(16380*4*12)/1000</f>
        <v>786.24</v>
      </c>
      <c r="T19" s="186" t="s">
        <v>47</v>
      </c>
      <c r="U19" s="187"/>
      <c r="V19" s="187"/>
      <c r="W19" s="187"/>
      <c r="X19" s="187"/>
      <c r="Y19" s="188"/>
      <c r="Z19" s="38"/>
      <c r="AA19" s="39"/>
    </row>
    <row r="20" spans="5:27" ht="15" thickBot="1" x14ac:dyDescent="0.4">
      <c r="E20" s="61" t="s">
        <v>48</v>
      </c>
      <c r="F20" s="62">
        <f>SUM(F7:F18)</f>
        <v>1113684</v>
      </c>
      <c r="G20" s="63">
        <f>SUM(G7:G18)</f>
        <v>810694</v>
      </c>
      <c r="H20" s="64">
        <f>H19*0.22</f>
        <v>2182648.8199999998</v>
      </c>
      <c r="I20" s="65">
        <f>0.12*I19</f>
        <v>104770.08</v>
      </c>
      <c r="J20" s="66"/>
      <c r="K20" s="66"/>
      <c r="L20" s="66"/>
      <c r="M20" s="67"/>
      <c r="N20" s="45"/>
      <c r="O20" s="31"/>
      <c r="P20" s="31"/>
      <c r="Q20" s="31"/>
      <c r="R20" s="31"/>
      <c r="S20" s="68" t="s">
        <v>49</v>
      </c>
      <c r="T20" s="69"/>
      <c r="U20" s="70"/>
      <c r="V20" s="70"/>
      <c r="W20" s="70"/>
      <c r="X20" s="70"/>
      <c r="Y20" s="70"/>
      <c r="Z20" s="71"/>
      <c r="AA20" s="72"/>
    </row>
    <row r="21" spans="5:27" ht="18" x14ac:dyDescent="0.35">
      <c r="E21" s="67"/>
      <c r="F21" s="73" t="s">
        <v>50</v>
      </c>
      <c r="G21" s="73" t="s">
        <v>50</v>
      </c>
      <c r="H21" s="73" t="s">
        <v>50</v>
      </c>
      <c r="I21" s="73"/>
      <c r="J21" s="73" t="s">
        <v>50</v>
      </c>
      <c r="K21" s="73" t="s">
        <v>50</v>
      </c>
      <c r="L21" s="73" t="s">
        <v>50</v>
      </c>
      <c r="M21" s="67"/>
      <c r="N21" s="29"/>
      <c r="O21" s="31"/>
      <c r="P21" s="31"/>
      <c r="Q21" s="31"/>
      <c r="R21" s="31"/>
      <c r="S21" s="68">
        <f>(786.24*1000*40000)/1000000</f>
        <v>31449.599999999999</v>
      </c>
      <c r="T21" s="69"/>
      <c r="U21" s="70"/>
      <c r="V21" s="70"/>
      <c r="W21" s="70"/>
      <c r="X21" s="70"/>
      <c r="Y21" s="70"/>
      <c r="Z21" s="71"/>
      <c r="AA21" s="72"/>
    </row>
    <row r="22" spans="5:27" ht="18" x14ac:dyDescent="0.35">
      <c r="E22" s="67"/>
      <c r="F22" s="67"/>
      <c r="G22" s="67"/>
      <c r="H22" s="67"/>
      <c r="I22" s="67"/>
      <c r="J22" s="67"/>
      <c r="K22" s="73"/>
      <c r="L22" s="67"/>
      <c r="M22" s="67"/>
      <c r="N22" s="29"/>
      <c r="O22" s="31"/>
      <c r="P22" s="31"/>
      <c r="Q22" s="31"/>
      <c r="R22" s="31"/>
      <c r="S22" s="68"/>
      <c r="T22" s="69"/>
      <c r="U22" s="70"/>
      <c r="V22" s="70"/>
      <c r="W22" s="70"/>
      <c r="X22" s="70"/>
      <c r="Y22" s="70"/>
      <c r="Z22" s="71"/>
      <c r="AA22" s="72"/>
    </row>
    <row r="23" spans="5:27" ht="87" x14ac:dyDescent="0.35">
      <c r="E23" s="26" t="s">
        <v>14</v>
      </c>
      <c r="F23" s="26" t="s">
        <v>15</v>
      </c>
      <c r="G23" s="26" t="s">
        <v>16</v>
      </c>
      <c r="H23" s="26" t="s">
        <v>17</v>
      </c>
      <c r="I23" s="26" t="s">
        <v>18</v>
      </c>
      <c r="J23" s="26" t="s">
        <v>19</v>
      </c>
      <c r="K23" s="26" t="s">
        <v>20</v>
      </c>
      <c r="L23" s="27" t="s">
        <v>21</v>
      </c>
      <c r="M23" s="28" t="s">
        <v>22</v>
      </c>
      <c r="N23" s="29" t="s">
        <v>23</v>
      </c>
      <c r="O23" s="31"/>
      <c r="P23" s="31"/>
      <c r="Q23" s="31"/>
      <c r="R23" s="31"/>
      <c r="S23" s="32"/>
      <c r="T23" s="33"/>
      <c r="U23" s="34"/>
      <c r="V23" s="34"/>
      <c r="W23" s="34"/>
      <c r="X23" s="34"/>
      <c r="Y23" s="34"/>
      <c r="Z23" s="35" t="s">
        <v>25</v>
      </c>
      <c r="AA23" s="36" t="s">
        <v>26</v>
      </c>
    </row>
    <row r="24" spans="5:27" x14ac:dyDescent="0.35">
      <c r="E24" s="37">
        <v>2017</v>
      </c>
      <c r="F24" s="189"/>
      <c r="G24" s="190"/>
      <c r="H24" s="190"/>
      <c r="I24" s="190"/>
      <c r="J24" s="190"/>
      <c r="K24" s="190"/>
      <c r="L24" s="191"/>
      <c r="M24" s="74"/>
      <c r="N24" s="29"/>
      <c r="O24" s="31"/>
      <c r="P24" s="31"/>
      <c r="Q24" s="31"/>
      <c r="R24" s="31"/>
      <c r="S24" s="178" t="s">
        <v>51</v>
      </c>
      <c r="T24" s="179"/>
      <c r="U24" s="179"/>
      <c r="V24" s="179"/>
      <c r="W24" s="179"/>
      <c r="X24" s="179"/>
      <c r="Y24" s="180"/>
      <c r="Z24" s="38"/>
      <c r="AA24" s="39"/>
    </row>
    <row r="25" spans="5:27" x14ac:dyDescent="0.35">
      <c r="E25" s="40" t="s">
        <v>28</v>
      </c>
      <c r="F25" s="41">
        <v>72651</v>
      </c>
      <c r="G25" s="41">
        <v>27523</v>
      </c>
      <c r="H25" s="41">
        <v>674873</v>
      </c>
      <c r="I25" s="41">
        <v>68220</v>
      </c>
      <c r="J25" s="41">
        <v>260000</v>
      </c>
      <c r="K25" s="42">
        <v>40350</v>
      </c>
      <c r="L25" s="42">
        <v>401790</v>
      </c>
      <c r="M25" s="44">
        <f t="shared" ref="M25:M37" si="5">SUM(J25:L25)</f>
        <v>702140</v>
      </c>
      <c r="N25" s="45">
        <f t="shared" ref="N25:N36" si="6">M25+(H25*0.22)+G25+F25</f>
        <v>950786.06</v>
      </c>
      <c r="O25" s="31"/>
      <c r="P25" s="31"/>
      <c r="Q25" s="31"/>
      <c r="R25" s="31"/>
      <c r="S25" s="32">
        <f>N37/1000</f>
        <v>15852.563099999999</v>
      </c>
      <c r="T25" s="175">
        <f>100%</f>
        <v>1</v>
      </c>
      <c r="U25" s="176"/>
      <c r="V25" s="176"/>
      <c r="W25" s="176"/>
      <c r="X25" s="176"/>
      <c r="Y25" s="177"/>
      <c r="Z25" s="38"/>
      <c r="AA25" s="39"/>
    </row>
    <row r="26" spans="5:27" x14ac:dyDescent="0.35">
      <c r="E26" s="40" t="s">
        <v>29</v>
      </c>
      <c r="F26" s="41">
        <v>106128</v>
      </c>
      <c r="G26" s="41">
        <v>134772</v>
      </c>
      <c r="H26" s="41">
        <v>772941</v>
      </c>
      <c r="I26" s="41">
        <v>76206</v>
      </c>
      <c r="J26" s="41">
        <v>440000</v>
      </c>
      <c r="K26" s="42">
        <v>39420</v>
      </c>
      <c r="L26" s="42">
        <v>518440</v>
      </c>
      <c r="M26" s="44">
        <f t="shared" si="5"/>
        <v>997860</v>
      </c>
      <c r="N26" s="45">
        <f t="shared" si="6"/>
        <v>1408807.02</v>
      </c>
      <c r="O26" s="31"/>
      <c r="P26" s="31"/>
      <c r="Q26" s="31"/>
      <c r="R26" s="31"/>
      <c r="S26" s="178" t="s">
        <v>30</v>
      </c>
      <c r="T26" s="179"/>
      <c r="U26" s="179"/>
      <c r="V26" s="179"/>
      <c r="W26" s="179"/>
      <c r="X26" s="179"/>
      <c r="Y26" s="180"/>
      <c r="Z26" s="38"/>
      <c r="AA26" s="39"/>
    </row>
    <row r="27" spans="5:27" x14ac:dyDescent="0.35">
      <c r="E27" s="40" t="s">
        <v>31</v>
      </c>
      <c r="F27" s="41">
        <v>97258</v>
      </c>
      <c r="G27" s="41">
        <v>79259</v>
      </c>
      <c r="H27" s="41">
        <v>972268</v>
      </c>
      <c r="I27" s="41">
        <v>68070</v>
      </c>
      <c r="J27" s="41">
        <v>260000</v>
      </c>
      <c r="K27" s="42">
        <v>19620</v>
      </c>
      <c r="L27" s="42">
        <v>586740</v>
      </c>
      <c r="M27" s="44">
        <f t="shared" si="5"/>
        <v>866360</v>
      </c>
      <c r="N27" s="45">
        <f t="shared" si="6"/>
        <v>1256775.96</v>
      </c>
      <c r="O27" s="31"/>
      <c r="P27" s="31"/>
      <c r="Q27" s="31"/>
      <c r="R27" s="31"/>
      <c r="S27" s="32">
        <f>L37/1000</f>
        <v>6125.37</v>
      </c>
      <c r="T27" s="175">
        <f>(S27/S25)</f>
        <v>0.38639619103613598</v>
      </c>
      <c r="U27" s="176"/>
      <c r="V27" s="176"/>
      <c r="W27" s="176"/>
      <c r="X27" s="176"/>
      <c r="Y27" s="177"/>
      <c r="Z27" s="38"/>
      <c r="AA27" s="39"/>
    </row>
    <row r="28" spans="5:27" x14ac:dyDescent="0.35">
      <c r="E28" s="40" t="s">
        <v>32</v>
      </c>
      <c r="F28" s="41">
        <v>96321</v>
      </c>
      <c r="G28" s="41">
        <v>77153</v>
      </c>
      <c r="H28" s="41">
        <v>756404</v>
      </c>
      <c r="I28" s="41">
        <v>79502</v>
      </c>
      <c r="J28" s="41">
        <v>320000</v>
      </c>
      <c r="K28" s="42">
        <v>41540</v>
      </c>
      <c r="L28" s="42">
        <v>416680</v>
      </c>
      <c r="M28" s="44">
        <f t="shared" si="5"/>
        <v>778220</v>
      </c>
      <c r="N28" s="45">
        <f t="shared" si="6"/>
        <v>1118102.8799999999</v>
      </c>
      <c r="O28" s="31"/>
      <c r="P28" s="31"/>
      <c r="Q28" s="31"/>
      <c r="R28" s="31"/>
      <c r="S28" s="178" t="s">
        <v>33</v>
      </c>
      <c r="T28" s="179"/>
      <c r="U28" s="179"/>
      <c r="V28" s="179"/>
      <c r="W28" s="179"/>
      <c r="X28" s="179"/>
      <c r="Y28" s="180"/>
      <c r="Z28" s="38"/>
      <c r="AA28" s="39"/>
    </row>
    <row r="29" spans="5:27" x14ac:dyDescent="0.35">
      <c r="E29" s="40" t="s">
        <v>34</v>
      </c>
      <c r="F29" s="41">
        <v>113965</v>
      </c>
      <c r="G29" s="41">
        <v>78055</v>
      </c>
      <c r="H29" s="41">
        <v>1076963</v>
      </c>
      <c r="I29" s="41">
        <v>88764</v>
      </c>
      <c r="J29" s="41">
        <v>340000</v>
      </c>
      <c r="K29" s="42">
        <v>38080</v>
      </c>
      <c r="L29" s="42">
        <v>593280</v>
      </c>
      <c r="M29" s="44">
        <f t="shared" si="5"/>
        <v>971360</v>
      </c>
      <c r="N29" s="45">
        <f t="shared" si="6"/>
        <v>1400311.86</v>
      </c>
      <c r="O29" s="31"/>
      <c r="P29" s="31"/>
      <c r="Q29" s="31"/>
      <c r="R29" s="31"/>
      <c r="S29" s="32">
        <f>K37/1000</f>
        <v>531.80999999999995</v>
      </c>
      <c r="T29" s="175">
        <f>S29/S25</f>
        <v>3.3547256468576994E-2</v>
      </c>
      <c r="U29" s="176"/>
      <c r="V29" s="176"/>
      <c r="W29" s="176"/>
      <c r="X29" s="176"/>
      <c r="Y29" s="177"/>
      <c r="Z29" s="38"/>
      <c r="AA29" s="39"/>
    </row>
    <row r="30" spans="5:27" x14ac:dyDescent="0.35">
      <c r="E30" s="40" t="s">
        <v>35</v>
      </c>
      <c r="F30" s="41">
        <v>114109</v>
      </c>
      <c r="G30" s="41">
        <v>77902</v>
      </c>
      <c r="H30" s="41">
        <v>998558</v>
      </c>
      <c r="I30" s="41">
        <v>86555</v>
      </c>
      <c r="J30" s="41">
        <v>440000</v>
      </c>
      <c r="K30" s="42">
        <v>62290</v>
      </c>
      <c r="L30" s="42">
        <v>560400</v>
      </c>
      <c r="M30" s="44">
        <f t="shared" si="5"/>
        <v>1062690</v>
      </c>
      <c r="N30" s="45">
        <f t="shared" si="6"/>
        <v>1474383.76</v>
      </c>
      <c r="O30" s="31"/>
      <c r="P30" s="31"/>
      <c r="Q30" s="31"/>
      <c r="R30" s="31"/>
      <c r="S30" s="178" t="s">
        <v>36</v>
      </c>
      <c r="T30" s="179"/>
      <c r="U30" s="179"/>
      <c r="V30" s="179"/>
      <c r="W30" s="179"/>
      <c r="X30" s="179"/>
      <c r="Y30" s="180"/>
      <c r="Z30" s="38"/>
      <c r="AA30" s="39"/>
    </row>
    <row r="31" spans="5:27" x14ac:dyDescent="0.35">
      <c r="E31" s="40" t="s">
        <v>37</v>
      </c>
      <c r="F31" s="41">
        <v>146244</v>
      </c>
      <c r="G31" s="41">
        <v>77488</v>
      </c>
      <c r="H31" s="41">
        <v>984629</v>
      </c>
      <c r="I31" s="41">
        <v>82948</v>
      </c>
      <c r="J31" s="41">
        <v>480000</v>
      </c>
      <c r="K31" s="42">
        <v>59380</v>
      </c>
      <c r="L31" s="42">
        <v>504720</v>
      </c>
      <c r="M31" s="44">
        <f t="shared" si="5"/>
        <v>1044100</v>
      </c>
      <c r="N31" s="45">
        <f t="shared" si="6"/>
        <v>1484450.38</v>
      </c>
      <c r="O31" s="31"/>
      <c r="P31" s="31"/>
      <c r="Q31" s="31"/>
      <c r="R31" s="31"/>
      <c r="S31" s="32">
        <f>J37/1000</f>
        <v>4535.9350000000004</v>
      </c>
      <c r="T31" s="175">
        <f>S31/S25</f>
        <v>0.28613259391473422</v>
      </c>
      <c r="U31" s="176"/>
      <c r="V31" s="176"/>
      <c r="W31" s="176"/>
      <c r="X31" s="176"/>
      <c r="Y31" s="177"/>
      <c r="Z31" s="38"/>
      <c r="AA31" s="39"/>
    </row>
    <row r="32" spans="5:27" x14ac:dyDescent="0.35">
      <c r="E32" s="40" t="s">
        <v>38</v>
      </c>
      <c r="F32" s="41">
        <v>152172</v>
      </c>
      <c r="G32" s="41">
        <v>105473</v>
      </c>
      <c r="H32" s="41">
        <v>689419</v>
      </c>
      <c r="I32" s="41">
        <v>99776</v>
      </c>
      <c r="J32" s="41">
        <v>480000</v>
      </c>
      <c r="K32" s="42">
        <v>36840</v>
      </c>
      <c r="L32" s="42">
        <v>472050</v>
      </c>
      <c r="M32" s="44">
        <f t="shared" si="5"/>
        <v>988890</v>
      </c>
      <c r="N32" s="45">
        <f t="shared" si="6"/>
        <v>1398207.18</v>
      </c>
      <c r="O32" s="31"/>
      <c r="P32" s="31"/>
      <c r="Q32" s="31"/>
      <c r="R32" s="31"/>
      <c r="S32" s="178" t="s">
        <v>39</v>
      </c>
      <c r="T32" s="179"/>
      <c r="U32" s="179"/>
      <c r="V32" s="179"/>
      <c r="W32" s="179"/>
      <c r="X32" s="179"/>
      <c r="Y32" s="180"/>
      <c r="Z32" s="38"/>
      <c r="AA32" s="39"/>
    </row>
    <row r="33" spans="5:27" x14ac:dyDescent="0.35">
      <c r="E33" s="40" t="s">
        <v>40</v>
      </c>
      <c r="F33" s="41">
        <v>156216</v>
      </c>
      <c r="G33" s="41">
        <v>77757</v>
      </c>
      <c r="H33" s="41">
        <v>732347</v>
      </c>
      <c r="I33" s="41">
        <v>86666</v>
      </c>
      <c r="J33" s="41">
        <v>420000</v>
      </c>
      <c r="K33" s="42">
        <v>59850</v>
      </c>
      <c r="L33" s="42">
        <v>479980</v>
      </c>
      <c r="M33" s="44">
        <f t="shared" si="5"/>
        <v>959830</v>
      </c>
      <c r="N33" s="45">
        <f t="shared" si="6"/>
        <v>1354919.34</v>
      </c>
      <c r="O33" s="31"/>
      <c r="P33" s="31"/>
      <c r="Q33" s="31"/>
      <c r="R33" s="31"/>
      <c r="S33" s="49">
        <f>(F38+G38+H38)/1000</f>
        <v>4659.4480999999996</v>
      </c>
      <c r="T33" s="175">
        <f>S33/S25</f>
        <v>0.29392395858055281</v>
      </c>
      <c r="U33" s="176"/>
      <c r="V33" s="176"/>
      <c r="W33" s="176"/>
      <c r="X33" s="176"/>
      <c r="Y33" s="177"/>
      <c r="Z33" s="38"/>
      <c r="AA33" s="39"/>
    </row>
    <row r="34" spans="5:27" x14ac:dyDescent="0.35">
      <c r="E34" s="40" t="s">
        <v>41</v>
      </c>
      <c r="F34" s="41">
        <v>176875</v>
      </c>
      <c r="G34" s="41">
        <v>25690</v>
      </c>
      <c r="H34" s="41">
        <v>929857</v>
      </c>
      <c r="I34" s="41">
        <v>76367</v>
      </c>
      <c r="J34" s="41">
        <v>350734</v>
      </c>
      <c r="K34" s="42">
        <v>56790</v>
      </c>
      <c r="L34" s="42">
        <v>473850</v>
      </c>
      <c r="M34" s="44">
        <f t="shared" si="5"/>
        <v>881374</v>
      </c>
      <c r="N34" s="45">
        <f t="shared" si="6"/>
        <v>1288507.54</v>
      </c>
      <c r="O34" s="31"/>
      <c r="P34" s="31"/>
      <c r="Q34" s="31"/>
      <c r="R34" s="31"/>
      <c r="S34" s="178" t="s">
        <v>42</v>
      </c>
      <c r="T34" s="179"/>
      <c r="U34" s="179"/>
      <c r="V34" s="179"/>
      <c r="W34" s="179"/>
      <c r="X34" s="179"/>
      <c r="Y34" s="180"/>
      <c r="Z34" s="38"/>
      <c r="AA34" s="39"/>
    </row>
    <row r="35" spans="5:27" x14ac:dyDescent="0.35">
      <c r="E35" s="40" t="s">
        <v>43</v>
      </c>
      <c r="F35" s="41">
        <v>130257</v>
      </c>
      <c r="G35" s="41">
        <v>103915</v>
      </c>
      <c r="H35" s="41">
        <v>784031</v>
      </c>
      <c r="I35" s="41">
        <v>91130</v>
      </c>
      <c r="J35" s="41">
        <v>465201</v>
      </c>
      <c r="K35" s="42">
        <v>38520</v>
      </c>
      <c r="L35" s="42">
        <v>701840</v>
      </c>
      <c r="M35" s="44">
        <f t="shared" si="5"/>
        <v>1205561</v>
      </c>
      <c r="N35" s="45">
        <f t="shared" si="6"/>
        <v>1612219.82</v>
      </c>
      <c r="O35" s="31"/>
      <c r="P35" s="31"/>
      <c r="Q35" s="31"/>
      <c r="R35" s="31"/>
      <c r="S35" s="32">
        <f>S33+S31+S29</f>
        <v>9727.1930999999986</v>
      </c>
      <c r="T35" s="175">
        <f>T33+T31+T29</f>
        <v>0.61360380896386402</v>
      </c>
      <c r="U35" s="176"/>
      <c r="V35" s="176"/>
      <c r="W35" s="176"/>
      <c r="X35" s="176"/>
      <c r="Y35" s="177"/>
      <c r="Z35" s="38"/>
      <c r="AA35" s="39"/>
    </row>
    <row r="36" spans="5:27" ht="15" thickBot="1" x14ac:dyDescent="0.4">
      <c r="E36" s="50" t="s">
        <v>44</v>
      </c>
      <c r="F36" s="51">
        <v>82692</v>
      </c>
      <c r="G36" s="51">
        <v>78380</v>
      </c>
      <c r="H36" s="51">
        <v>951315</v>
      </c>
      <c r="I36" s="51">
        <v>59967</v>
      </c>
      <c r="J36" s="51">
        <v>280000</v>
      </c>
      <c r="K36" s="52">
        <v>39130</v>
      </c>
      <c r="L36" s="52">
        <v>415600</v>
      </c>
      <c r="M36" s="75">
        <f t="shared" si="5"/>
        <v>734730</v>
      </c>
      <c r="N36" s="45">
        <f t="shared" si="6"/>
        <v>1105091.3</v>
      </c>
      <c r="O36" s="31"/>
      <c r="P36" s="31"/>
      <c r="Q36" s="31"/>
      <c r="R36" s="31"/>
      <c r="S36" s="178" t="s">
        <v>45</v>
      </c>
      <c r="T36" s="179"/>
      <c r="U36" s="179"/>
      <c r="V36" s="179"/>
      <c r="W36" s="179"/>
      <c r="X36" s="179"/>
      <c r="Y36" s="180"/>
      <c r="Z36" s="38"/>
      <c r="AA36" s="39"/>
    </row>
    <row r="37" spans="5:27" ht="15" thickBot="1" x14ac:dyDescent="0.4">
      <c r="E37" s="55" t="s">
        <v>46</v>
      </c>
      <c r="F37" s="56"/>
      <c r="G37" s="57"/>
      <c r="H37" s="58">
        <f>SUM(H25:H36)</f>
        <v>10323605</v>
      </c>
      <c r="I37" s="59">
        <f>SUM(I25:I36)</f>
        <v>964171</v>
      </c>
      <c r="J37" s="59">
        <f>SUM(J25:J36)</f>
        <v>4535935</v>
      </c>
      <c r="K37" s="59">
        <f>SUM(K25:K36)</f>
        <v>531810</v>
      </c>
      <c r="L37" s="76">
        <f>SUM(L25:L36)</f>
        <v>6125370</v>
      </c>
      <c r="M37" s="60">
        <f t="shared" si="5"/>
        <v>11193115</v>
      </c>
      <c r="N37" s="45">
        <f>M37+(H37*0.22)+G38+F38</f>
        <v>15852563.1</v>
      </c>
      <c r="O37" s="31"/>
      <c r="P37" s="31"/>
      <c r="Q37" s="31"/>
      <c r="R37" s="31"/>
      <c r="S37" s="32">
        <f>(16380*4*12)/1000</f>
        <v>786.24</v>
      </c>
      <c r="T37" s="186" t="s">
        <v>47</v>
      </c>
      <c r="U37" s="187"/>
      <c r="V37" s="187"/>
      <c r="W37" s="187"/>
      <c r="X37" s="187"/>
      <c r="Y37" s="188"/>
      <c r="Z37" s="38"/>
      <c r="AA37" s="39"/>
    </row>
    <row r="38" spans="5:27" ht="15" thickBot="1" x14ac:dyDescent="0.4">
      <c r="E38" s="61" t="s">
        <v>48</v>
      </c>
      <c r="F38" s="62">
        <f>SUM(F25:F36)</f>
        <v>1444888</v>
      </c>
      <c r="G38" s="63">
        <f>SUM(G25:G36)</f>
        <v>943367</v>
      </c>
      <c r="H38" s="64">
        <f>H37*0.22</f>
        <v>2271193.1</v>
      </c>
      <c r="I38" s="65">
        <f>I37*0.12</f>
        <v>115700.51999999999</v>
      </c>
      <c r="J38" s="66"/>
      <c r="K38" s="66"/>
      <c r="L38" s="66"/>
      <c r="M38" s="67"/>
      <c r="N38" s="31"/>
      <c r="O38" s="31"/>
      <c r="P38" s="31"/>
      <c r="Q38" s="31"/>
      <c r="R38" s="31"/>
      <c r="S38" s="68" t="s">
        <v>49</v>
      </c>
      <c r="T38" s="69"/>
      <c r="U38" s="70"/>
      <c r="V38" s="70"/>
      <c r="W38" s="70"/>
      <c r="X38" s="70"/>
      <c r="Y38" s="70"/>
      <c r="Z38" s="71"/>
      <c r="AA38" s="72"/>
    </row>
    <row r="39" spans="5:27" ht="18" x14ac:dyDescent="0.4">
      <c r="E39" s="30"/>
      <c r="F39" s="77" t="s">
        <v>50</v>
      </c>
      <c r="G39" s="77" t="s">
        <v>50</v>
      </c>
      <c r="H39" s="77" t="s">
        <v>50</v>
      </c>
      <c r="I39" s="77" t="s">
        <v>50</v>
      </c>
      <c r="J39" s="77" t="s">
        <v>50</v>
      </c>
      <c r="K39" s="77" t="s">
        <v>50</v>
      </c>
      <c r="L39" s="77" t="s">
        <v>50</v>
      </c>
      <c r="M39" s="30"/>
      <c r="N39" s="31"/>
      <c r="O39" s="31"/>
      <c r="P39" s="31"/>
      <c r="Q39" s="31"/>
      <c r="R39" s="31"/>
      <c r="S39" s="68">
        <f>(786.24*1000*40000)/1000000</f>
        <v>31449.599999999999</v>
      </c>
      <c r="T39" s="69"/>
      <c r="U39" s="70"/>
      <c r="V39" s="70"/>
      <c r="W39" s="70"/>
      <c r="X39" s="70"/>
      <c r="Y39" s="70"/>
      <c r="Z39" s="71"/>
      <c r="AA39" s="72"/>
    </row>
    <row r="40" spans="5:27" x14ac:dyDescent="0.35">
      <c r="E40" s="30"/>
      <c r="F40" s="30"/>
      <c r="G40" s="30"/>
      <c r="H40" s="30"/>
      <c r="I40" s="30"/>
      <c r="J40" s="30"/>
      <c r="K40" s="30"/>
      <c r="L40" s="30"/>
      <c r="M40" s="30"/>
      <c r="N40" s="31"/>
      <c r="O40" s="31"/>
      <c r="P40" s="31"/>
      <c r="Q40" s="31"/>
      <c r="R40" s="31"/>
      <c r="S40" s="68"/>
      <c r="T40" s="69"/>
      <c r="U40" s="70"/>
      <c r="V40" s="70"/>
      <c r="W40" s="70"/>
      <c r="X40" s="70"/>
      <c r="Y40" s="70"/>
      <c r="Z40" s="71"/>
      <c r="AA40" s="72"/>
    </row>
    <row r="41" spans="5:27" x14ac:dyDescent="0.35">
      <c r="E41" s="30"/>
      <c r="F41" s="30"/>
      <c r="G41" s="30"/>
      <c r="H41" s="30"/>
      <c r="I41" s="30"/>
      <c r="J41" s="30"/>
      <c r="K41" s="30"/>
      <c r="L41" s="30"/>
      <c r="M41" s="30"/>
      <c r="N41" s="31"/>
      <c r="O41" s="31"/>
      <c r="P41" s="31"/>
      <c r="Q41" s="31"/>
      <c r="R41" s="31"/>
      <c r="S41" s="78"/>
      <c r="T41" s="78"/>
      <c r="U41" s="78"/>
      <c r="V41" s="78"/>
      <c r="W41" s="78"/>
      <c r="X41" s="78"/>
      <c r="Y41" s="78"/>
      <c r="Z41" s="31"/>
      <c r="AA41" s="31"/>
    </row>
    <row r="42" spans="5:27" ht="87" x14ac:dyDescent="0.35">
      <c r="E42" s="79" t="s">
        <v>14</v>
      </c>
      <c r="F42" s="79" t="s">
        <v>15</v>
      </c>
      <c r="G42" s="79" t="s">
        <v>16</v>
      </c>
      <c r="H42" s="79" t="s">
        <v>52</v>
      </c>
      <c r="I42" s="79" t="s">
        <v>53</v>
      </c>
      <c r="J42" s="79" t="s">
        <v>19</v>
      </c>
      <c r="K42" s="79" t="s">
        <v>20</v>
      </c>
      <c r="L42" s="79" t="s">
        <v>54</v>
      </c>
      <c r="M42" s="28" t="s">
        <v>22</v>
      </c>
      <c r="N42" s="29" t="s">
        <v>23</v>
      </c>
      <c r="O42" s="31"/>
      <c r="P42" s="31"/>
      <c r="Q42" s="31"/>
      <c r="R42" s="31"/>
      <c r="S42" s="32"/>
      <c r="T42" s="33"/>
      <c r="U42" s="34"/>
      <c r="V42" s="34"/>
      <c r="W42" s="34"/>
      <c r="X42" s="34"/>
      <c r="Y42" s="34"/>
      <c r="Z42" s="35" t="s">
        <v>25</v>
      </c>
      <c r="AA42" s="36" t="s">
        <v>26</v>
      </c>
    </row>
    <row r="43" spans="5:27" x14ac:dyDescent="0.35">
      <c r="E43" s="80">
        <v>2016</v>
      </c>
      <c r="F43" s="183"/>
      <c r="G43" s="184"/>
      <c r="H43" s="184"/>
      <c r="I43" s="184"/>
      <c r="J43" s="184"/>
      <c r="K43" s="184"/>
      <c r="L43" s="185"/>
      <c r="M43" s="82"/>
      <c r="N43" s="31"/>
      <c r="O43" s="31"/>
      <c r="P43" s="31"/>
      <c r="Q43" s="31"/>
      <c r="R43" s="31"/>
      <c r="S43" s="178" t="s">
        <v>55</v>
      </c>
      <c r="T43" s="179"/>
      <c r="U43" s="179"/>
      <c r="V43" s="179"/>
      <c r="W43" s="179"/>
      <c r="X43" s="179"/>
      <c r="Y43" s="180"/>
      <c r="Z43" s="38"/>
      <c r="AA43" s="39"/>
    </row>
    <row r="44" spans="5:27" x14ac:dyDescent="0.35">
      <c r="E44" s="83" t="s">
        <v>28</v>
      </c>
      <c r="F44" s="84">
        <v>149356</v>
      </c>
      <c r="G44" s="84">
        <v>75556</v>
      </c>
      <c r="H44" s="84">
        <v>724368</v>
      </c>
      <c r="I44" s="84">
        <v>99275</v>
      </c>
      <c r="J44" s="84">
        <v>40000</v>
      </c>
      <c r="K44" s="85">
        <v>58170</v>
      </c>
      <c r="L44" s="85">
        <v>380790</v>
      </c>
      <c r="M44" s="44">
        <f t="shared" ref="M44:M56" si="7">SUM(J44:L44)</f>
        <v>478960</v>
      </c>
      <c r="N44" s="45">
        <f t="shared" ref="N44:N55" si="8">M44+(H44*0.22)+G44+F44</f>
        <v>863232.96</v>
      </c>
      <c r="O44" s="31"/>
      <c r="P44" s="31"/>
      <c r="Q44" s="31"/>
      <c r="R44" s="31"/>
      <c r="S44" s="32">
        <f>N56/1000</f>
        <v>15060.789919999999</v>
      </c>
      <c r="T44" s="175">
        <f>100%</f>
        <v>1</v>
      </c>
      <c r="U44" s="176"/>
      <c r="V44" s="176"/>
      <c r="W44" s="176"/>
      <c r="X44" s="176"/>
      <c r="Y44" s="177"/>
      <c r="Z44" s="38"/>
      <c r="AA44" s="39"/>
    </row>
    <row r="45" spans="5:27" x14ac:dyDescent="0.35">
      <c r="E45" s="83" t="s">
        <v>29</v>
      </c>
      <c r="F45" s="84">
        <v>117882</v>
      </c>
      <c r="G45" s="84">
        <v>100751</v>
      </c>
      <c r="H45" s="84">
        <v>639770</v>
      </c>
      <c r="I45" s="84">
        <v>50852</v>
      </c>
      <c r="J45" s="84">
        <v>180000</v>
      </c>
      <c r="K45" s="85">
        <v>59550</v>
      </c>
      <c r="L45" s="85">
        <v>406990</v>
      </c>
      <c r="M45" s="44">
        <f t="shared" si="7"/>
        <v>646540</v>
      </c>
      <c r="N45" s="45">
        <f t="shared" si="8"/>
        <v>1005922.4</v>
      </c>
      <c r="O45" s="31"/>
      <c r="P45" s="31"/>
      <c r="Q45" s="31"/>
      <c r="R45" s="31"/>
      <c r="S45" s="178" t="s">
        <v>30</v>
      </c>
      <c r="T45" s="179"/>
      <c r="U45" s="179"/>
      <c r="V45" s="179"/>
      <c r="W45" s="179"/>
      <c r="X45" s="179"/>
      <c r="Y45" s="180"/>
      <c r="Z45" s="38"/>
      <c r="AA45" s="39"/>
    </row>
    <row r="46" spans="5:27" x14ac:dyDescent="0.35">
      <c r="E46" s="83" t="s">
        <v>31</v>
      </c>
      <c r="F46" s="84">
        <v>139151</v>
      </c>
      <c r="G46" s="84">
        <v>75455</v>
      </c>
      <c r="H46" s="84">
        <v>871764</v>
      </c>
      <c r="I46" s="84">
        <v>81335</v>
      </c>
      <c r="J46" s="84">
        <v>400000</v>
      </c>
      <c r="K46" s="85">
        <v>39980</v>
      </c>
      <c r="L46" s="85">
        <v>585770</v>
      </c>
      <c r="M46" s="44">
        <f t="shared" si="7"/>
        <v>1025750</v>
      </c>
      <c r="N46" s="45">
        <f t="shared" si="8"/>
        <v>1432144.08</v>
      </c>
      <c r="O46" s="31"/>
      <c r="P46" s="31"/>
      <c r="Q46" s="31"/>
      <c r="R46" s="31"/>
      <c r="S46" s="32">
        <f>L56/1000</f>
        <v>6376.3720000000003</v>
      </c>
      <c r="T46" s="175">
        <f>(S46/S44)</f>
        <v>0.42337566846560198</v>
      </c>
      <c r="U46" s="176"/>
      <c r="V46" s="176"/>
      <c r="W46" s="176"/>
      <c r="X46" s="176"/>
      <c r="Y46" s="177"/>
      <c r="Z46" s="38"/>
      <c r="AA46" s="39"/>
    </row>
    <row r="47" spans="5:27" x14ac:dyDescent="0.35">
      <c r="E47" s="83" t="s">
        <v>32</v>
      </c>
      <c r="F47" s="84">
        <v>152598</v>
      </c>
      <c r="G47" s="84">
        <v>130468</v>
      </c>
      <c r="H47" s="84">
        <v>691240</v>
      </c>
      <c r="I47" s="84">
        <v>95945</v>
      </c>
      <c r="J47" s="84">
        <v>440000</v>
      </c>
      <c r="K47" s="85">
        <v>60210</v>
      </c>
      <c r="L47" s="85">
        <v>371980</v>
      </c>
      <c r="M47" s="44">
        <f t="shared" si="7"/>
        <v>872190</v>
      </c>
      <c r="N47" s="45">
        <f t="shared" si="8"/>
        <v>1307328.8</v>
      </c>
      <c r="O47" s="31"/>
      <c r="P47" s="31"/>
      <c r="Q47" s="31"/>
      <c r="R47" s="31"/>
      <c r="S47" s="178" t="s">
        <v>33</v>
      </c>
      <c r="T47" s="179"/>
      <c r="U47" s="179"/>
      <c r="V47" s="179"/>
      <c r="W47" s="179"/>
      <c r="X47" s="179"/>
      <c r="Y47" s="180"/>
      <c r="Z47" s="38"/>
      <c r="AA47" s="39"/>
    </row>
    <row r="48" spans="5:27" x14ac:dyDescent="0.35">
      <c r="E48" s="83" t="s">
        <v>34</v>
      </c>
      <c r="F48" s="84">
        <v>202296</v>
      </c>
      <c r="G48" s="84">
        <v>75656</v>
      </c>
      <c r="H48" s="84">
        <v>901574</v>
      </c>
      <c r="I48" s="84">
        <v>82435</v>
      </c>
      <c r="J48" s="84">
        <v>300000</v>
      </c>
      <c r="K48" s="85">
        <v>37830</v>
      </c>
      <c r="L48" s="85">
        <v>529380</v>
      </c>
      <c r="M48" s="44">
        <f t="shared" si="7"/>
        <v>867210</v>
      </c>
      <c r="N48" s="45">
        <f t="shared" si="8"/>
        <v>1343508.28</v>
      </c>
      <c r="O48" s="31"/>
      <c r="P48" s="31"/>
      <c r="Q48" s="31"/>
      <c r="R48" s="31"/>
      <c r="S48" s="32">
        <f>K56/1000</f>
        <v>453.98</v>
      </c>
      <c r="T48" s="175">
        <f>S48/S44</f>
        <v>3.0143173260596151E-2</v>
      </c>
      <c r="U48" s="176"/>
      <c r="V48" s="176"/>
      <c r="W48" s="176"/>
      <c r="X48" s="176"/>
      <c r="Y48" s="177"/>
      <c r="Z48" s="38"/>
      <c r="AA48" s="39"/>
    </row>
    <row r="49" spans="5:27" x14ac:dyDescent="0.35">
      <c r="E49" s="83" t="s">
        <v>35</v>
      </c>
      <c r="F49" s="84">
        <v>108199</v>
      </c>
      <c r="G49" s="84">
        <v>103410</v>
      </c>
      <c r="H49" s="84">
        <v>934096</v>
      </c>
      <c r="I49" s="84">
        <v>103783</v>
      </c>
      <c r="J49" s="84">
        <v>540000</v>
      </c>
      <c r="K49" s="85">
        <v>40570</v>
      </c>
      <c r="L49" s="85">
        <v>897000</v>
      </c>
      <c r="M49" s="44">
        <f t="shared" si="7"/>
        <v>1477570</v>
      </c>
      <c r="N49" s="45">
        <f t="shared" si="8"/>
        <v>1894680.12</v>
      </c>
      <c r="O49" s="31"/>
      <c r="P49" s="31"/>
      <c r="Q49" s="31"/>
      <c r="R49" s="31"/>
      <c r="S49" s="178" t="s">
        <v>36</v>
      </c>
      <c r="T49" s="179"/>
      <c r="U49" s="179"/>
      <c r="V49" s="179"/>
      <c r="W49" s="179"/>
      <c r="X49" s="179"/>
      <c r="Y49" s="180"/>
      <c r="Z49" s="38"/>
      <c r="AA49" s="39"/>
    </row>
    <row r="50" spans="5:27" x14ac:dyDescent="0.35">
      <c r="E50" s="83" t="s">
        <v>37</v>
      </c>
      <c r="F50" s="84">
        <v>116769</v>
      </c>
      <c r="G50" s="84">
        <v>104667</v>
      </c>
      <c r="H50" s="84">
        <v>618931</v>
      </c>
      <c r="I50" s="84">
        <v>64690</v>
      </c>
      <c r="J50" s="84">
        <v>280000</v>
      </c>
      <c r="K50" s="85">
        <v>20800</v>
      </c>
      <c r="L50" s="85">
        <v>440090</v>
      </c>
      <c r="M50" s="44">
        <f t="shared" si="7"/>
        <v>740890</v>
      </c>
      <c r="N50" s="45">
        <f t="shared" si="8"/>
        <v>1098490.82</v>
      </c>
      <c r="O50" s="31"/>
      <c r="P50" s="31"/>
      <c r="Q50" s="31"/>
      <c r="R50" s="31"/>
      <c r="S50" s="32">
        <f>J56/1000</f>
        <v>3500</v>
      </c>
      <c r="T50" s="175">
        <f>S50/S44</f>
        <v>0.23239152916887643</v>
      </c>
      <c r="U50" s="176"/>
      <c r="V50" s="176"/>
      <c r="W50" s="176"/>
      <c r="X50" s="176"/>
      <c r="Y50" s="177"/>
      <c r="Z50" s="38"/>
      <c r="AA50" s="39"/>
    </row>
    <row r="51" spans="5:27" x14ac:dyDescent="0.35">
      <c r="E51" s="83" t="s">
        <v>38</v>
      </c>
      <c r="F51" s="84">
        <v>105524</v>
      </c>
      <c r="G51" s="84">
        <v>78186</v>
      </c>
      <c r="H51" s="84">
        <v>909909</v>
      </c>
      <c r="I51" s="84">
        <v>97236</v>
      </c>
      <c r="J51" s="84">
        <v>180000</v>
      </c>
      <c r="K51" s="85">
        <v>18780</v>
      </c>
      <c r="L51" s="85">
        <v>840932</v>
      </c>
      <c r="M51" s="44">
        <f t="shared" si="7"/>
        <v>1039712</v>
      </c>
      <c r="N51" s="45">
        <f t="shared" si="8"/>
        <v>1423601.98</v>
      </c>
      <c r="O51" s="31"/>
      <c r="P51" s="31"/>
      <c r="Q51" s="31"/>
      <c r="R51" s="31"/>
      <c r="S51" s="178" t="s">
        <v>39</v>
      </c>
      <c r="T51" s="179"/>
      <c r="U51" s="179"/>
      <c r="V51" s="179"/>
      <c r="W51" s="179"/>
      <c r="X51" s="179"/>
      <c r="Y51" s="180"/>
      <c r="Z51" s="38"/>
      <c r="AA51" s="39"/>
    </row>
    <row r="52" spans="5:27" x14ac:dyDescent="0.35">
      <c r="E52" s="83" t="s">
        <v>40</v>
      </c>
      <c r="F52" s="84">
        <v>171086</v>
      </c>
      <c r="G52" s="84">
        <v>80499</v>
      </c>
      <c r="H52" s="84">
        <v>967148</v>
      </c>
      <c r="I52" s="84">
        <v>127840</v>
      </c>
      <c r="J52" s="84">
        <v>0</v>
      </c>
      <c r="K52" s="85">
        <v>20810</v>
      </c>
      <c r="L52" s="85">
        <v>534280</v>
      </c>
      <c r="M52" s="44">
        <f t="shared" si="7"/>
        <v>555090</v>
      </c>
      <c r="N52" s="45">
        <f t="shared" si="8"/>
        <v>1019447.56</v>
      </c>
      <c r="O52" s="31"/>
      <c r="P52" s="31"/>
      <c r="Q52" s="31"/>
      <c r="R52" s="31"/>
      <c r="S52" s="49">
        <f>(F57+G57+H57)/1000</f>
        <v>4730.4379200000003</v>
      </c>
      <c r="T52" s="175">
        <f>S52/S44</f>
        <v>0.31408962910492549</v>
      </c>
      <c r="U52" s="176"/>
      <c r="V52" s="176"/>
      <c r="W52" s="176"/>
      <c r="X52" s="176"/>
      <c r="Y52" s="177"/>
      <c r="Z52" s="38"/>
      <c r="AA52" s="39"/>
    </row>
    <row r="53" spans="5:27" x14ac:dyDescent="0.35">
      <c r="E53" s="83" t="s">
        <v>41</v>
      </c>
      <c r="F53" s="84">
        <v>110453</v>
      </c>
      <c r="G53" s="84">
        <v>80211</v>
      </c>
      <c r="H53" s="84">
        <v>744299</v>
      </c>
      <c r="I53" s="84">
        <v>74280</v>
      </c>
      <c r="J53" s="84">
        <v>380000</v>
      </c>
      <c r="K53" s="85">
        <v>57530</v>
      </c>
      <c r="L53" s="85">
        <v>453890</v>
      </c>
      <c r="M53" s="44">
        <f t="shared" si="7"/>
        <v>891420</v>
      </c>
      <c r="N53" s="45">
        <f t="shared" si="8"/>
        <v>1245829.78</v>
      </c>
      <c r="O53" s="31"/>
      <c r="P53" s="31"/>
      <c r="Q53" s="31"/>
      <c r="R53" s="31"/>
      <c r="S53" s="178" t="s">
        <v>42</v>
      </c>
      <c r="T53" s="179"/>
      <c r="U53" s="179"/>
      <c r="V53" s="179"/>
      <c r="W53" s="179"/>
      <c r="X53" s="179"/>
      <c r="Y53" s="180"/>
      <c r="Z53" s="38"/>
      <c r="AA53" s="39"/>
    </row>
    <row r="54" spans="5:27" x14ac:dyDescent="0.35">
      <c r="E54" s="83" t="s">
        <v>43</v>
      </c>
      <c r="F54" s="84">
        <v>102425</v>
      </c>
      <c r="G54" s="84">
        <v>80840</v>
      </c>
      <c r="H54" s="84">
        <v>870884</v>
      </c>
      <c r="I54" s="84">
        <v>144718</v>
      </c>
      <c r="J54" s="84">
        <v>360000</v>
      </c>
      <c r="K54" s="85">
        <v>39750</v>
      </c>
      <c r="L54" s="85">
        <v>490260</v>
      </c>
      <c r="M54" s="44">
        <f t="shared" si="7"/>
        <v>890010</v>
      </c>
      <c r="N54" s="45">
        <f t="shared" si="8"/>
        <v>1264869.48</v>
      </c>
      <c r="O54" s="31"/>
      <c r="P54" s="31"/>
      <c r="Q54" s="31"/>
      <c r="R54" s="31"/>
      <c r="S54" s="32">
        <f>S52+S50+S48</f>
        <v>8684.4179199999999</v>
      </c>
      <c r="T54" s="175">
        <f>T52+T50+T48</f>
        <v>0.57662433153439807</v>
      </c>
      <c r="U54" s="176"/>
      <c r="V54" s="176"/>
      <c r="W54" s="176"/>
      <c r="X54" s="176"/>
      <c r="Y54" s="177"/>
      <c r="Z54" s="38"/>
      <c r="AA54" s="39"/>
    </row>
    <row r="55" spans="5:27" ht="15" thickBot="1" x14ac:dyDescent="0.4">
      <c r="E55" s="81" t="s">
        <v>44</v>
      </c>
      <c r="F55" s="86">
        <v>70251</v>
      </c>
      <c r="G55" s="86">
        <v>102240</v>
      </c>
      <c r="H55" s="86">
        <v>655603</v>
      </c>
      <c r="I55" s="86">
        <v>86379</v>
      </c>
      <c r="J55" s="86">
        <v>400000</v>
      </c>
      <c r="K55" s="87">
        <v>0</v>
      </c>
      <c r="L55" s="87">
        <v>445010</v>
      </c>
      <c r="M55" s="44">
        <f t="shared" si="7"/>
        <v>845010</v>
      </c>
      <c r="N55" s="45">
        <f t="shared" si="8"/>
        <v>1161733.6600000001</v>
      </c>
      <c r="O55" s="31"/>
      <c r="P55" s="31"/>
      <c r="Q55" s="31"/>
      <c r="R55" s="31"/>
      <c r="S55" s="178" t="s">
        <v>45</v>
      </c>
      <c r="T55" s="179"/>
      <c r="U55" s="179"/>
      <c r="V55" s="179"/>
      <c r="W55" s="179"/>
      <c r="X55" s="179"/>
      <c r="Y55" s="180"/>
      <c r="Z55" s="38"/>
      <c r="AA55" s="39"/>
    </row>
    <row r="56" spans="5:27" ht="15" thickBot="1" x14ac:dyDescent="0.4">
      <c r="E56" s="88" t="s">
        <v>46</v>
      </c>
      <c r="F56" s="89">
        <f t="shared" ref="F56:L56" si="9">SUM(F44:F55)</f>
        <v>1545990</v>
      </c>
      <c r="G56" s="89">
        <f t="shared" si="9"/>
        <v>1087939</v>
      </c>
      <c r="H56" s="89">
        <f t="shared" si="9"/>
        <v>9529586</v>
      </c>
      <c r="I56" s="89">
        <f t="shared" si="9"/>
        <v>1108768</v>
      </c>
      <c r="J56" s="89">
        <f t="shared" si="9"/>
        <v>3500000</v>
      </c>
      <c r="K56" s="89">
        <f t="shared" si="9"/>
        <v>453980</v>
      </c>
      <c r="L56" s="90">
        <f t="shared" si="9"/>
        <v>6376372</v>
      </c>
      <c r="M56" s="60">
        <f t="shared" si="7"/>
        <v>10330352</v>
      </c>
      <c r="N56" s="45">
        <f>M56+(H56*0.22)+G57+F57</f>
        <v>15060789.92</v>
      </c>
      <c r="O56" s="31"/>
      <c r="P56" s="31"/>
      <c r="Q56" s="31"/>
      <c r="R56" s="31"/>
      <c r="S56" s="32">
        <f>(16380*4*12)/1000</f>
        <v>786.24</v>
      </c>
      <c r="T56" s="186" t="s">
        <v>47</v>
      </c>
      <c r="U56" s="187"/>
      <c r="V56" s="187"/>
      <c r="W56" s="187"/>
      <c r="X56" s="187"/>
      <c r="Y56" s="188"/>
      <c r="Z56" s="38"/>
      <c r="AA56" s="39"/>
    </row>
    <row r="57" spans="5:27" ht="15" thickBot="1" x14ac:dyDescent="0.4">
      <c r="E57" s="91" t="s">
        <v>56</v>
      </c>
      <c r="F57" s="92">
        <f>SUM(F44:F55)</f>
        <v>1545990</v>
      </c>
      <c r="G57" s="59">
        <f>SUM(G44:G55)</f>
        <v>1087939</v>
      </c>
      <c r="H57" s="93">
        <f>H56*0.22</f>
        <v>2096508.92</v>
      </c>
      <c r="I57" s="65">
        <f>I56*0.12</f>
        <v>133052.16</v>
      </c>
      <c r="J57" s="30"/>
      <c r="K57" s="30"/>
      <c r="L57" s="30"/>
      <c r="M57" s="30"/>
      <c r="N57" s="31"/>
      <c r="O57" s="31"/>
      <c r="P57" s="31"/>
      <c r="Q57" s="31"/>
      <c r="R57" s="31"/>
      <c r="S57" s="68" t="s">
        <v>49</v>
      </c>
      <c r="T57" s="69"/>
      <c r="U57" s="70"/>
      <c r="V57" s="70"/>
      <c r="W57" s="70"/>
      <c r="X57" s="70"/>
      <c r="Y57" s="70"/>
      <c r="Z57" s="71"/>
      <c r="AA57" s="72"/>
    </row>
    <row r="58" spans="5:27" ht="18" x14ac:dyDescent="0.4">
      <c r="E58" s="30"/>
      <c r="F58" s="77" t="s">
        <v>50</v>
      </c>
      <c r="G58" s="77" t="s">
        <v>50</v>
      </c>
      <c r="H58" s="77" t="s">
        <v>50</v>
      </c>
      <c r="I58" s="77" t="s">
        <v>50</v>
      </c>
      <c r="J58" s="77" t="s">
        <v>50</v>
      </c>
      <c r="K58" s="77" t="s">
        <v>50</v>
      </c>
      <c r="L58" s="77" t="s">
        <v>50</v>
      </c>
      <c r="M58" s="30"/>
      <c r="N58" s="31"/>
      <c r="O58" s="31"/>
      <c r="P58" s="31"/>
      <c r="Q58" s="31"/>
      <c r="R58" s="31"/>
      <c r="S58" s="68">
        <f>(786.24*1000*40000)/1000000</f>
        <v>31449.599999999999</v>
      </c>
      <c r="T58" s="69"/>
      <c r="U58" s="70"/>
      <c r="V58" s="70"/>
      <c r="W58" s="70"/>
      <c r="X58" s="70"/>
      <c r="Y58" s="70"/>
      <c r="Z58" s="71"/>
      <c r="AA58" s="72"/>
    </row>
    <row r="59" spans="5:27" x14ac:dyDescent="0.35">
      <c r="E59" s="30"/>
      <c r="F59" s="30"/>
      <c r="G59" s="30"/>
      <c r="H59" s="30"/>
      <c r="I59" s="30"/>
      <c r="J59" s="30"/>
      <c r="K59" s="30"/>
      <c r="L59" s="30"/>
      <c r="M59" s="30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</row>
    <row r="60" spans="5:27" x14ac:dyDescent="0.35">
      <c r="E60" s="30"/>
      <c r="F60" s="30"/>
      <c r="G60" s="30"/>
      <c r="H60" s="30"/>
      <c r="I60" s="30"/>
      <c r="J60" s="30"/>
      <c r="K60" s="30"/>
      <c r="L60" s="30"/>
      <c r="M60" s="30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</row>
  </sheetData>
  <mergeCells count="45">
    <mergeCell ref="S55:Y55"/>
    <mergeCell ref="T56:Y56"/>
    <mergeCell ref="S49:Y49"/>
    <mergeCell ref="T50:Y50"/>
    <mergeCell ref="S51:Y51"/>
    <mergeCell ref="T52:Y52"/>
    <mergeCell ref="S53:Y53"/>
    <mergeCell ref="T54:Y54"/>
    <mergeCell ref="F43:L43"/>
    <mergeCell ref="S43:Y43"/>
    <mergeCell ref="S18:Y18"/>
    <mergeCell ref="T19:Y19"/>
    <mergeCell ref="F24:L24"/>
    <mergeCell ref="S24:Y24"/>
    <mergeCell ref="T25:Y25"/>
    <mergeCell ref="S26:Y26"/>
    <mergeCell ref="T33:Y33"/>
    <mergeCell ref="S34:Y34"/>
    <mergeCell ref="T35:Y35"/>
    <mergeCell ref="S36:Y36"/>
    <mergeCell ref="T37:Y37"/>
    <mergeCell ref="F6:L6"/>
    <mergeCell ref="S6:Y6"/>
    <mergeCell ref="T7:Y7"/>
    <mergeCell ref="S8:Y8"/>
    <mergeCell ref="T9:Y9"/>
    <mergeCell ref="S10:Y10"/>
    <mergeCell ref="T11:Y11"/>
    <mergeCell ref="S45:Y45"/>
    <mergeCell ref="T46:Y46"/>
    <mergeCell ref="S47:Y47"/>
    <mergeCell ref="T27:Y27"/>
    <mergeCell ref="S28:Y28"/>
    <mergeCell ref="S14:Y14"/>
    <mergeCell ref="T15:Y15"/>
    <mergeCell ref="S16:Y16"/>
    <mergeCell ref="T17:Y17"/>
    <mergeCell ref="S12:Y12"/>
    <mergeCell ref="T13:Y13"/>
    <mergeCell ref="T48:Y48"/>
    <mergeCell ref="T44:Y44"/>
    <mergeCell ref="T29:Y29"/>
    <mergeCell ref="S30:Y30"/>
    <mergeCell ref="T31:Y31"/>
    <mergeCell ref="S32:Y3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D0662-F6F9-4DA0-96E2-179F1D995448}">
  <dimension ref="A1:N87"/>
  <sheetViews>
    <sheetView tabSelected="1" topLeftCell="A71" workbookViewId="0">
      <selection activeCell="M86" sqref="M86"/>
    </sheetView>
  </sheetViews>
  <sheetFormatPr defaultRowHeight="14.5" x14ac:dyDescent="0.35"/>
  <cols>
    <col min="1" max="1" width="15.81640625" customWidth="1"/>
    <col min="4" max="4" width="13.26953125" bestFit="1" customWidth="1"/>
    <col min="6" max="6" width="15.7265625" customWidth="1"/>
    <col min="9" max="9" width="13.26953125" bestFit="1" customWidth="1"/>
    <col min="11" max="11" width="18.1796875" customWidth="1"/>
    <col min="14" max="14" width="13.26953125" bestFit="1" customWidth="1"/>
  </cols>
  <sheetData>
    <row r="1" spans="1:14" ht="18.5" x14ac:dyDescent="0.45">
      <c r="A1" s="94" t="s">
        <v>57</v>
      </c>
    </row>
    <row r="3" spans="1:14" x14ac:dyDescent="0.35">
      <c r="A3" t="s">
        <v>58</v>
      </c>
      <c r="F3" t="s">
        <v>64</v>
      </c>
      <c r="K3" t="s">
        <v>65</v>
      </c>
    </row>
    <row r="5" spans="1:14" x14ac:dyDescent="0.35">
      <c r="A5" t="s">
        <v>59</v>
      </c>
    </row>
    <row r="7" spans="1:14" ht="15" thickBot="1" x14ac:dyDescent="0.4"/>
    <row r="8" spans="1:14" ht="15" thickBot="1" x14ac:dyDescent="0.4">
      <c r="A8" s="95" t="s">
        <v>60</v>
      </c>
      <c r="B8" s="96" t="s">
        <v>85</v>
      </c>
      <c r="C8" s="96" t="s">
        <v>61</v>
      </c>
      <c r="D8" s="96" t="s">
        <v>62</v>
      </c>
      <c r="F8" s="95" t="s">
        <v>60</v>
      </c>
      <c r="G8" s="96" t="s">
        <v>85</v>
      </c>
      <c r="H8" s="96" t="s">
        <v>61</v>
      </c>
      <c r="I8" s="96" t="s">
        <v>62</v>
      </c>
      <c r="K8" s="95" t="s">
        <v>60</v>
      </c>
      <c r="L8" s="96" t="s">
        <v>85</v>
      </c>
      <c r="M8" s="96" t="s">
        <v>61</v>
      </c>
      <c r="N8" s="96" t="s">
        <v>62</v>
      </c>
    </row>
    <row r="9" spans="1:14" x14ac:dyDescent="0.35">
      <c r="A9" s="97">
        <v>43122</v>
      </c>
      <c r="B9" s="98">
        <v>16380</v>
      </c>
      <c r="C9" s="99">
        <v>1.9670000000000001</v>
      </c>
      <c r="D9" s="100"/>
      <c r="F9" s="97">
        <v>42748</v>
      </c>
      <c r="G9" s="98">
        <v>16380</v>
      </c>
      <c r="H9" s="99">
        <v>1.863</v>
      </c>
      <c r="I9" s="100"/>
      <c r="K9" s="97">
        <v>42384</v>
      </c>
      <c r="L9" s="98">
        <v>16380</v>
      </c>
      <c r="M9" s="99">
        <v>1.714</v>
      </c>
      <c r="N9" s="100"/>
    </row>
    <row r="10" spans="1:14" x14ac:dyDescent="0.35">
      <c r="A10" s="101"/>
      <c r="B10" s="102">
        <v>16380</v>
      </c>
      <c r="C10" s="103">
        <v>1.948</v>
      </c>
      <c r="D10" s="104"/>
      <c r="F10" s="101"/>
      <c r="G10" s="102">
        <v>16380</v>
      </c>
      <c r="H10" s="103">
        <v>1.903</v>
      </c>
      <c r="I10" s="104"/>
      <c r="K10" s="101"/>
      <c r="L10" s="102">
        <v>16380</v>
      </c>
      <c r="M10" s="103">
        <v>1.714</v>
      </c>
      <c r="N10" s="104"/>
    </row>
    <row r="11" spans="1:14" x14ac:dyDescent="0.35">
      <c r="A11" s="101"/>
      <c r="B11" s="102">
        <v>16380</v>
      </c>
      <c r="C11" s="103">
        <v>1.948</v>
      </c>
      <c r="D11" s="104"/>
      <c r="F11" s="101">
        <v>42766</v>
      </c>
      <c r="G11" s="102">
        <v>16380</v>
      </c>
      <c r="H11" s="103">
        <v>1.92</v>
      </c>
      <c r="I11" s="104"/>
      <c r="K11" s="101"/>
      <c r="L11" s="102">
        <v>5400</v>
      </c>
      <c r="M11" s="103">
        <v>1.3620000000000001</v>
      </c>
      <c r="N11" s="104"/>
    </row>
    <row r="12" spans="1:14" x14ac:dyDescent="0.35">
      <c r="A12" s="101">
        <v>43130</v>
      </c>
      <c r="B12" s="102">
        <v>16380</v>
      </c>
      <c r="C12" s="103">
        <v>1.948</v>
      </c>
      <c r="D12" s="104"/>
      <c r="F12" s="101"/>
      <c r="G12" s="102">
        <v>5400</v>
      </c>
      <c r="H12" s="103">
        <v>2.08</v>
      </c>
      <c r="I12" s="104"/>
      <c r="K12" s="101">
        <v>42398</v>
      </c>
      <c r="L12" s="102">
        <v>16380</v>
      </c>
      <c r="M12" s="103">
        <v>1.714</v>
      </c>
      <c r="N12" s="104"/>
    </row>
    <row r="13" spans="1:14" ht="15" thickBot="1" x14ac:dyDescent="0.4">
      <c r="A13" s="101"/>
      <c r="B13" s="105">
        <v>5400</v>
      </c>
      <c r="C13" s="106">
        <v>2.2440000000000002</v>
      </c>
      <c r="D13" s="104"/>
      <c r="F13" s="101"/>
      <c r="G13" s="102">
        <v>16380</v>
      </c>
      <c r="H13" s="103">
        <v>1.8859999999999999</v>
      </c>
      <c r="I13" s="104"/>
      <c r="K13" s="101"/>
      <c r="L13" s="102">
        <v>16380</v>
      </c>
      <c r="M13" s="103">
        <v>1.284</v>
      </c>
      <c r="N13" s="104">
        <f>SUM(L9:L13)</f>
        <v>70920</v>
      </c>
    </row>
    <row r="14" spans="1:14" ht="15" thickBot="1" x14ac:dyDescent="0.4">
      <c r="A14" s="107"/>
      <c r="B14" s="108">
        <v>16380</v>
      </c>
      <c r="C14" s="109">
        <v>1.948</v>
      </c>
      <c r="D14" s="110">
        <f>SUM(B9:B14)</f>
        <v>87300</v>
      </c>
      <c r="F14" s="107"/>
      <c r="G14" s="108">
        <v>16380</v>
      </c>
      <c r="H14" s="109">
        <v>1.8620000000000001</v>
      </c>
      <c r="I14" s="110">
        <f>SUM(G9:G14)</f>
        <v>87300</v>
      </c>
      <c r="K14" s="97">
        <v>42419</v>
      </c>
      <c r="L14" s="98">
        <v>16380</v>
      </c>
      <c r="M14" s="99">
        <v>1.2130000000000001</v>
      </c>
      <c r="N14" s="100"/>
    </row>
    <row r="15" spans="1:14" x14ac:dyDescent="0.35">
      <c r="A15" s="97">
        <v>43143</v>
      </c>
      <c r="B15" s="98">
        <v>16380</v>
      </c>
      <c r="C15" s="99">
        <v>1.9570000000000001</v>
      </c>
      <c r="D15" s="100"/>
      <c r="F15" s="97">
        <v>42781</v>
      </c>
      <c r="G15" s="98">
        <v>16380</v>
      </c>
      <c r="H15" s="99">
        <v>1.829</v>
      </c>
      <c r="I15" s="100"/>
      <c r="K15" s="101"/>
      <c r="L15" s="102">
        <v>16380</v>
      </c>
      <c r="M15" s="103">
        <v>1.2130000000000001</v>
      </c>
      <c r="N15" s="104"/>
    </row>
    <row r="16" spans="1:14" x14ac:dyDescent="0.35">
      <c r="A16" s="101"/>
      <c r="B16" s="102">
        <v>16380</v>
      </c>
      <c r="C16" s="103">
        <v>1.9670000000000001</v>
      </c>
      <c r="D16" s="104"/>
      <c r="F16" s="101"/>
      <c r="G16" s="102">
        <v>16380</v>
      </c>
      <c r="H16" s="103">
        <v>1.829</v>
      </c>
      <c r="I16" s="104"/>
      <c r="K16" s="101"/>
      <c r="L16" s="102">
        <v>5400</v>
      </c>
      <c r="M16" s="103">
        <v>1.2</v>
      </c>
      <c r="N16" s="104"/>
    </row>
    <row r="17" spans="1:14" x14ac:dyDescent="0.35">
      <c r="A17" s="101">
        <v>43159</v>
      </c>
      <c r="B17" s="102">
        <v>16380</v>
      </c>
      <c r="C17" s="103">
        <v>1.9570000000000001</v>
      </c>
      <c r="D17" s="104"/>
      <c r="F17" s="101">
        <v>42794</v>
      </c>
      <c r="G17" s="102">
        <v>16380</v>
      </c>
      <c r="H17" s="103">
        <v>1.829</v>
      </c>
      <c r="I17" s="104"/>
      <c r="K17" s="107">
        <v>42429</v>
      </c>
      <c r="L17" s="108">
        <v>16380</v>
      </c>
      <c r="M17" s="109">
        <v>1.2130000000000001</v>
      </c>
      <c r="N17" s="110"/>
    </row>
    <row r="18" spans="1:14" ht="15" thickBot="1" x14ac:dyDescent="0.4">
      <c r="A18" s="101"/>
      <c r="B18" s="102">
        <v>16380</v>
      </c>
      <c r="C18" s="103">
        <v>1.9279999999999999</v>
      </c>
      <c r="D18" s="104"/>
      <c r="F18" s="111"/>
      <c r="G18" s="117">
        <v>16380</v>
      </c>
      <c r="H18" s="118">
        <v>1.87</v>
      </c>
      <c r="I18" s="114">
        <f>SUM(G15:G18)</f>
        <v>65520</v>
      </c>
      <c r="K18" s="111"/>
      <c r="L18" s="117">
        <v>16380</v>
      </c>
      <c r="M18" s="118">
        <v>1.2130000000000001</v>
      </c>
      <c r="N18" s="114">
        <f>SUM(L14:L18)</f>
        <v>70920</v>
      </c>
    </row>
    <row r="19" spans="1:14" ht="15" thickBot="1" x14ac:dyDescent="0.4">
      <c r="A19" s="111"/>
      <c r="B19" s="112">
        <v>5400</v>
      </c>
      <c r="C19" s="113">
        <v>2.145</v>
      </c>
      <c r="D19" s="114">
        <f>SUM(B15:B19)</f>
        <v>70920</v>
      </c>
      <c r="F19" s="97">
        <v>42809</v>
      </c>
      <c r="G19" s="98">
        <v>16380</v>
      </c>
      <c r="H19" s="99">
        <v>1.8169999999999999</v>
      </c>
      <c r="I19" s="100"/>
      <c r="K19" s="97">
        <v>42447</v>
      </c>
      <c r="L19" s="98">
        <v>16380</v>
      </c>
      <c r="M19" s="99">
        <v>1.22</v>
      </c>
      <c r="N19" s="100"/>
    </row>
    <row r="20" spans="1:14" x14ac:dyDescent="0.35">
      <c r="A20" s="97">
        <v>43168</v>
      </c>
      <c r="B20" s="98">
        <v>16380</v>
      </c>
      <c r="C20" s="99">
        <v>1.92</v>
      </c>
      <c r="D20" s="100"/>
      <c r="F20" s="101"/>
      <c r="G20" s="102">
        <v>5400</v>
      </c>
      <c r="H20" s="103">
        <v>2.1070000000000002</v>
      </c>
      <c r="I20" s="104"/>
      <c r="K20" s="101"/>
      <c r="L20" s="102">
        <v>16380</v>
      </c>
      <c r="M20" s="103">
        <v>1.18</v>
      </c>
      <c r="N20" s="104"/>
    </row>
    <row r="21" spans="1:14" x14ac:dyDescent="0.35">
      <c r="A21" s="101"/>
      <c r="B21" s="102">
        <v>16380</v>
      </c>
      <c r="C21" s="103">
        <v>1.92</v>
      </c>
      <c r="D21" s="104"/>
      <c r="F21" s="101"/>
      <c r="G21" s="102">
        <v>16380</v>
      </c>
      <c r="H21" s="103">
        <v>1.8169999999999999</v>
      </c>
      <c r="I21" s="104"/>
      <c r="K21" s="101"/>
      <c r="L21" s="102">
        <v>16380</v>
      </c>
      <c r="M21" s="103">
        <v>1.18</v>
      </c>
      <c r="N21" s="104"/>
    </row>
    <row r="22" spans="1:14" x14ac:dyDescent="0.35">
      <c r="A22" s="101">
        <v>43189</v>
      </c>
      <c r="B22" s="102">
        <v>16380</v>
      </c>
      <c r="C22" s="103">
        <v>1.92</v>
      </c>
      <c r="D22" s="104"/>
      <c r="F22" s="107"/>
      <c r="G22" s="108">
        <v>16380</v>
      </c>
      <c r="H22" s="109">
        <v>1.8169999999999999</v>
      </c>
      <c r="I22" s="110"/>
      <c r="K22" s="107">
        <v>42460</v>
      </c>
      <c r="L22" s="108">
        <v>16380</v>
      </c>
      <c r="M22" s="109">
        <v>1.18</v>
      </c>
      <c r="N22" s="110"/>
    </row>
    <row r="23" spans="1:14" x14ac:dyDescent="0.35">
      <c r="A23" s="107"/>
      <c r="B23" s="108">
        <v>16380</v>
      </c>
      <c r="C23" s="109">
        <v>1.92</v>
      </c>
      <c r="D23" s="110"/>
      <c r="F23" s="107">
        <v>42825</v>
      </c>
      <c r="G23" s="108">
        <v>16380</v>
      </c>
      <c r="H23" s="109">
        <v>1.8169999999999999</v>
      </c>
      <c r="I23" s="110"/>
      <c r="K23" s="107"/>
      <c r="L23" s="108">
        <v>5400</v>
      </c>
      <c r="M23" s="109">
        <v>1.4870000000000001</v>
      </c>
      <c r="N23" s="110"/>
    </row>
    <row r="24" spans="1:14" ht="15" thickBot="1" x14ac:dyDescent="0.4">
      <c r="A24" s="107"/>
      <c r="B24" s="115">
        <v>5400</v>
      </c>
      <c r="C24" s="116">
        <v>2.2440000000000002</v>
      </c>
      <c r="D24" s="110"/>
      <c r="F24" s="107"/>
      <c r="G24" s="108">
        <v>16380</v>
      </c>
      <c r="H24" s="109">
        <v>1.7969999999999999</v>
      </c>
      <c r="I24" s="110"/>
      <c r="K24" s="107"/>
      <c r="L24" s="108">
        <v>16380</v>
      </c>
      <c r="M24" s="109">
        <v>1.2749999999999999</v>
      </c>
      <c r="N24" s="110">
        <f>SUM(L19:L24)</f>
        <v>87300</v>
      </c>
    </row>
    <row r="25" spans="1:14" ht="15" thickBot="1" x14ac:dyDescent="0.4">
      <c r="A25" s="111"/>
      <c r="B25" s="117">
        <v>16380</v>
      </c>
      <c r="C25" s="118">
        <v>1.927</v>
      </c>
      <c r="D25" s="114">
        <f>SUM(B20:B25)</f>
        <v>87300</v>
      </c>
      <c r="F25" s="107"/>
      <c r="G25" s="108">
        <v>16380</v>
      </c>
      <c r="H25" s="109">
        <v>1.7969999999999999</v>
      </c>
      <c r="I25" s="110"/>
      <c r="K25" s="97">
        <v>42475</v>
      </c>
      <c r="L25" s="98">
        <v>16380</v>
      </c>
      <c r="M25" s="99">
        <v>1.2749999999999999</v>
      </c>
      <c r="N25" s="100"/>
    </row>
    <row r="26" spans="1:14" ht="15" thickBot="1" x14ac:dyDescent="0.4">
      <c r="A26" s="97">
        <v>43202</v>
      </c>
      <c r="B26" s="98">
        <v>16380</v>
      </c>
      <c r="C26" s="99">
        <v>1.927</v>
      </c>
      <c r="D26" s="100"/>
      <c r="F26" s="111"/>
      <c r="G26" s="117">
        <v>5400</v>
      </c>
      <c r="H26" s="118">
        <v>1.974</v>
      </c>
      <c r="I26" s="114">
        <f>SUM(G19:G26)</f>
        <v>109080</v>
      </c>
      <c r="K26" s="101"/>
      <c r="L26" s="102">
        <v>16380</v>
      </c>
      <c r="M26" s="103">
        <v>1.2749999999999999</v>
      </c>
      <c r="N26" s="104"/>
    </row>
    <row r="27" spans="1:14" x14ac:dyDescent="0.35">
      <c r="A27" s="101"/>
      <c r="B27" s="102">
        <v>16380</v>
      </c>
      <c r="C27" s="103">
        <v>1.927</v>
      </c>
      <c r="D27" s="104"/>
      <c r="F27" s="97">
        <v>42840</v>
      </c>
      <c r="G27" s="98">
        <v>16380</v>
      </c>
      <c r="H27" s="99">
        <v>1.75</v>
      </c>
      <c r="I27" s="100"/>
      <c r="K27" s="101"/>
      <c r="L27" s="102">
        <v>16380</v>
      </c>
      <c r="M27" s="103">
        <v>1.2849999999999999</v>
      </c>
      <c r="N27" s="104"/>
    </row>
    <row r="28" spans="1:14" x14ac:dyDescent="0.35">
      <c r="A28" s="101">
        <v>43220</v>
      </c>
      <c r="B28" s="102">
        <v>16380</v>
      </c>
      <c r="C28" s="103">
        <v>1.9570000000000001</v>
      </c>
      <c r="D28" s="104"/>
      <c r="F28" s="101"/>
      <c r="G28" s="102">
        <v>16380</v>
      </c>
      <c r="H28" s="103">
        <v>1.75</v>
      </c>
      <c r="I28" s="104"/>
      <c r="K28" s="107">
        <v>42490</v>
      </c>
      <c r="L28" s="108">
        <v>16380</v>
      </c>
      <c r="M28" s="109">
        <v>1.2849999999999999</v>
      </c>
      <c r="N28" s="110"/>
    </row>
    <row r="29" spans="1:14" ht="15" thickBot="1" x14ac:dyDescent="0.4">
      <c r="A29" s="107"/>
      <c r="B29" s="108">
        <v>16380</v>
      </c>
      <c r="C29" s="109">
        <v>1.9950000000000001</v>
      </c>
      <c r="D29" s="110"/>
      <c r="F29" s="101">
        <v>42853</v>
      </c>
      <c r="G29" s="102">
        <v>16380</v>
      </c>
      <c r="H29" s="103">
        <v>1.74</v>
      </c>
      <c r="I29" s="104"/>
      <c r="K29" s="111"/>
      <c r="L29" s="117">
        <v>16380</v>
      </c>
      <c r="M29" s="118">
        <v>1.2849999999999999</v>
      </c>
      <c r="N29" s="114">
        <f>SUM(L25:L29)</f>
        <v>81900</v>
      </c>
    </row>
    <row r="30" spans="1:14" x14ac:dyDescent="0.35">
      <c r="A30" s="107"/>
      <c r="B30" s="108">
        <v>16380</v>
      </c>
      <c r="C30" s="109">
        <v>1.9950000000000001</v>
      </c>
      <c r="D30" s="110"/>
      <c r="F30" s="107"/>
      <c r="G30" s="108">
        <v>16380</v>
      </c>
      <c r="H30" s="109">
        <v>1.75</v>
      </c>
      <c r="I30" s="110"/>
      <c r="K30" s="97">
        <v>42505</v>
      </c>
      <c r="L30" s="98">
        <v>5400</v>
      </c>
      <c r="M30" s="99">
        <v>1.5469999999999999</v>
      </c>
      <c r="N30" s="100"/>
    </row>
    <row r="31" spans="1:14" ht="15" thickBot="1" x14ac:dyDescent="0.4">
      <c r="A31" s="111"/>
      <c r="B31" s="112">
        <v>5400</v>
      </c>
      <c r="C31" s="113">
        <v>2.363</v>
      </c>
      <c r="D31" s="114">
        <f>SUM(B26:B31)</f>
        <v>87300</v>
      </c>
      <c r="F31" s="111"/>
      <c r="G31" s="117">
        <v>16380</v>
      </c>
      <c r="H31" s="118">
        <v>1.75</v>
      </c>
      <c r="I31" s="114">
        <f>SUM(G27:G31)</f>
        <v>81900</v>
      </c>
      <c r="K31" s="119"/>
      <c r="L31" s="120">
        <v>13650</v>
      </c>
      <c r="M31" s="121">
        <v>1.29</v>
      </c>
      <c r="N31" s="122"/>
    </row>
    <row r="32" spans="1:14" x14ac:dyDescent="0.35">
      <c r="A32" s="97">
        <v>43234</v>
      </c>
      <c r="B32" s="98">
        <v>16380</v>
      </c>
      <c r="C32" s="99">
        <v>2.0169999999999999</v>
      </c>
      <c r="D32" s="100"/>
      <c r="F32" s="97">
        <v>42870</v>
      </c>
      <c r="G32" s="98">
        <v>16380</v>
      </c>
      <c r="H32" s="99">
        <v>1.754</v>
      </c>
      <c r="I32" s="100"/>
      <c r="K32" s="119"/>
      <c r="L32" s="120">
        <v>16380</v>
      </c>
      <c r="M32" s="121">
        <v>1.29</v>
      </c>
      <c r="N32" s="122"/>
    </row>
    <row r="33" spans="1:14" x14ac:dyDescent="0.35">
      <c r="A33" s="119"/>
      <c r="B33" s="120">
        <v>13650</v>
      </c>
      <c r="C33" s="121">
        <v>2.0569999999999999</v>
      </c>
      <c r="D33" s="122"/>
      <c r="F33" s="119"/>
      <c r="G33" s="120">
        <v>5400</v>
      </c>
      <c r="H33" s="121">
        <v>1.946</v>
      </c>
      <c r="I33" s="122"/>
      <c r="K33" s="101">
        <v>42521</v>
      </c>
      <c r="L33" s="102">
        <v>16380</v>
      </c>
      <c r="M33" s="103">
        <v>1.29</v>
      </c>
      <c r="N33" s="104"/>
    </row>
    <row r="34" spans="1:14" x14ac:dyDescent="0.35">
      <c r="A34" s="119">
        <v>43250</v>
      </c>
      <c r="B34" s="120">
        <v>13650</v>
      </c>
      <c r="C34" s="121">
        <v>2.1160000000000001</v>
      </c>
      <c r="D34" s="122"/>
      <c r="F34" s="119"/>
      <c r="G34" s="120">
        <v>16380</v>
      </c>
      <c r="H34" s="121">
        <v>1.754</v>
      </c>
      <c r="I34" s="122"/>
      <c r="K34" s="101"/>
      <c r="L34" s="102">
        <v>16380</v>
      </c>
      <c r="M34" s="103">
        <v>1.415</v>
      </c>
      <c r="N34" s="104"/>
    </row>
    <row r="35" spans="1:14" ht="15" thickBot="1" x14ac:dyDescent="0.4">
      <c r="A35" s="101"/>
      <c r="B35" s="102">
        <v>16380</v>
      </c>
      <c r="C35" s="103">
        <v>2.1749999999999998</v>
      </c>
      <c r="D35" s="104"/>
      <c r="F35" s="101"/>
      <c r="G35" s="102">
        <v>16380</v>
      </c>
      <c r="H35" s="103">
        <v>1.754</v>
      </c>
      <c r="I35" s="104"/>
      <c r="K35" s="123"/>
      <c r="L35" s="124">
        <v>16380</v>
      </c>
      <c r="M35" s="125">
        <v>1.415</v>
      </c>
      <c r="N35" s="126">
        <f>SUM(L30:L35)</f>
        <v>84570</v>
      </c>
    </row>
    <row r="36" spans="1:14" x14ac:dyDescent="0.35">
      <c r="A36" s="101"/>
      <c r="B36" s="105">
        <v>5400</v>
      </c>
      <c r="C36" s="106">
        <v>2.5419999999999998</v>
      </c>
      <c r="D36" s="104"/>
      <c r="F36" s="101">
        <v>42886</v>
      </c>
      <c r="G36" s="102">
        <v>16380</v>
      </c>
      <c r="H36" s="103">
        <v>1.754</v>
      </c>
      <c r="I36" s="104"/>
      <c r="K36" s="97">
        <v>42536</v>
      </c>
      <c r="L36" s="98">
        <v>5400</v>
      </c>
      <c r="M36" s="99">
        <v>1.72</v>
      </c>
      <c r="N36" s="100"/>
    </row>
    <row r="37" spans="1:14" ht="15" thickBot="1" x14ac:dyDescent="0.4">
      <c r="A37" s="123"/>
      <c r="B37" s="124">
        <v>16380</v>
      </c>
      <c r="C37" s="125">
        <v>2.1749999999999998</v>
      </c>
      <c r="D37" s="126">
        <f>SUM(B32:B37)</f>
        <v>81840</v>
      </c>
      <c r="F37" s="136"/>
      <c r="G37" s="102">
        <v>16380</v>
      </c>
      <c r="H37" s="103">
        <v>1.754</v>
      </c>
      <c r="I37" s="104"/>
      <c r="K37" s="119"/>
      <c r="L37" s="120">
        <v>16380</v>
      </c>
      <c r="M37" s="121">
        <v>1.42</v>
      </c>
      <c r="N37" s="122"/>
    </row>
    <row r="38" spans="1:14" ht="15" thickBot="1" x14ac:dyDescent="0.4">
      <c r="A38" s="97">
        <v>43266</v>
      </c>
      <c r="B38" s="98">
        <v>16380</v>
      </c>
      <c r="C38" s="99">
        <v>2.2370000000000001</v>
      </c>
      <c r="D38" s="100"/>
      <c r="F38" s="123"/>
      <c r="G38" s="124">
        <v>16380</v>
      </c>
      <c r="H38" s="125">
        <v>1.754</v>
      </c>
      <c r="I38" s="126">
        <f>SUM(G32:G38)</f>
        <v>103680</v>
      </c>
      <c r="K38" s="119"/>
      <c r="L38" s="120">
        <v>16380</v>
      </c>
      <c r="M38" s="121">
        <v>1.42</v>
      </c>
      <c r="N38" s="122"/>
    </row>
    <row r="39" spans="1:14" x14ac:dyDescent="0.35">
      <c r="A39" s="119"/>
      <c r="B39" s="120">
        <v>16380</v>
      </c>
      <c r="C39" s="121">
        <v>2.218</v>
      </c>
      <c r="D39" s="122"/>
      <c r="F39" s="97">
        <v>42900</v>
      </c>
      <c r="G39" s="98">
        <v>16380</v>
      </c>
      <c r="H39" s="99">
        <v>1.7470000000000001</v>
      </c>
      <c r="I39" s="100"/>
      <c r="K39" s="119"/>
      <c r="L39" s="120">
        <v>16380</v>
      </c>
      <c r="M39" s="121">
        <v>1.42</v>
      </c>
      <c r="N39" s="122"/>
    </row>
    <row r="40" spans="1:14" x14ac:dyDescent="0.35">
      <c r="A40" s="119"/>
      <c r="B40" s="120">
        <v>10920</v>
      </c>
      <c r="C40" s="121">
        <v>2.2599999999999998</v>
      </c>
      <c r="D40" s="122"/>
      <c r="F40" s="119"/>
      <c r="G40" s="120">
        <v>5400</v>
      </c>
      <c r="H40" s="121">
        <v>1.8680000000000001</v>
      </c>
      <c r="I40" s="122"/>
      <c r="K40" s="119">
        <v>42551</v>
      </c>
      <c r="L40" s="120">
        <v>16380</v>
      </c>
      <c r="M40" s="121">
        <v>1.42</v>
      </c>
      <c r="N40" s="122"/>
    </row>
    <row r="41" spans="1:14" x14ac:dyDescent="0.35">
      <c r="A41" s="119">
        <v>43281</v>
      </c>
      <c r="B41" s="120">
        <v>16380</v>
      </c>
      <c r="C41" s="121">
        <v>2.218</v>
      </c>
      <c r="D41" s="122"/>
      <c r="F41" s="119"/>
      <c r="G41" s="120">
        <v>16380</v>
      </c>
      <c r="H41" s="121">
        <v>1.752</v>
      </c>
      <c r="I41" s="122"/>
      <c r="K41" s="119"/>
      <c r="L41" s="120">
        <v>16380</v>
      </c>
      <c r="M41" s="121">
        <v>1.42</v>
      </c>
      <c r="N41" s="122"/>
    </row>
    <row r="42" spans="1:14" ht="15" thickBot="1" x14ac:dyDescent="0.4">
      <c r="A42" s="119"/>
      <c r="B42" s="120">
        <v>16380</v>
      </c>
      <c r="C42" s="121">
        <v>2.218</v>
      </c>
      <c r="D42" s="122"/>
      <c r="F42" s="119"/>
      <c r="G42" s="120">
        <v>16380</v>
      </c>
      <c r="H42" s="121">
        <v>1.7470000000000001</v>
      </c>
      <c r="I42" s="122"/>
      <c r="K42" s="123"/>
      <c r="L42" s="124">
        <v>5400</v>
      </c>
      <c r="M42" s="125">
        <v>1.72</v>
      </c>
      <c r="N42" s="126">
        <f>SUM(L36:L42)</f>
        <v>92700</v>
      </c>
    </row>
    <row r="43" spans="1:14" x14ac:dyDescent="0.35">
      <c r="A43" s="119"/>
      <c r="B43" s="127">
        <v>5400</v>
      </c>
      <c r="C43" s="128">
        <v>2.3940000000000001</v>
      </c>
      <c r="D43" s="122"/>
      <c r="F43" s="119">
        <v>42915</v>
      </c>
      <c r="G43" s="120">
        <v>16380</v>
      </c>
      <c r="H43" s="121">
        <v>1.7470000000000001</v>
      </c>
      <c r="I43" s="122"/>
      <c r="K43" s="97">
        <v>42566</v>
      </c>
      <c r="L43" s="98">
        <v>16380</v>
      </c>
      <c r="M43" s="99">
        <v>1.42</v>
      </c>
      <c r="N43" s="100"/>
    </row>
    <row r="44" spans="1:14" ht="15" thickBot="1" x14ac:dyDescent="0.4">
      <c r="A44" s="123"/>
      <c r="B44" s="124">
        <v>10920</v>
      </c>
      <c r="C44" s="125">
        <v>2.2250000000000001</v>
      </c>
      <c r="D44" s="126">
        <f>SUM(B38:B44)</f>
        <v>92760</v>
      </c>
      <c r="F44" s="119"/>
      <c r="G44" s="120">
        <v>16380</v>
      </c>
      <c r="H44" s="121">
        <v>1.73</v>
      </c>
      <c r="I44" s="122"/>
      <c r="K44" s="119"/>
      <c r="L44" s="120">
        <v>16380</v>
      </c>
      <c r="M44" s="121">
        <v>1.42</v>
      </c>
      <c r="N44" s="122"/>
    </row>
    <row r="45" spans="1:14" ht="15" thickBot="1" x14ac:dyDescent="0.4">
      <c r="A45" s="97">
        <v>43291</v>
      </c>
      <c r="B45" s="98">
        <v>16380</v>
      </c>
      <c r="C45" s="99">
        <v>2.2490000000000001</v>
      </c>
      <c r="D45" s="100"/>
      <c r="F45" s="123"/>
      <c r="G45" s="124">
        <v>16380</v>
      </c>
      <c r="H45" s="125">
        <v>1.73</v>
      </c>
      <c r="I45" s="126">
        <f>SUM(G39:G45)</f>
        <v>103680</v>
      </c>
      <c r="K45" s="119"/>
      <c r="L45" s="120">
        <v>16380</v>
      </c>
      <c r="M45" s="121">
        <v>1.51</v>
      </c>
      <c r="N45" s="122"/>
    </row>
    <row r="46" spans="1:14" x14ac:dyDescent="0.35">
      <c r="A46" s="119"/>
      <c r="B46" s="120">
        <v>16380</v>
      </c>
      <c r="C46" s="121">
        <v>2.2970000000000002</v>
      </c>
      <c r="D46" s="122"/>
      <c r="F46" s="97">
        <v>42929</v>
      </c>
      <c r="G46" s="98">
        <v>16380</v>
      </c>
      <c r="H46" s="99">
        <v>1.73</v>
      </c>
      <c r="I46" s="100"/>
      <c r="K46" s="119">
        <v>42582</v>
      </c>
      <c r="L46" s="120">
        <v>16380</v>
      </c>
      <c r="M46" s="121">
        <v>1.51</v>
      </c>
      <c r="N46" s="122"/>
    </row>
    <row r="47" spans="1:14" ht="15" thickBot="1" x14ac:dyDescent="0.4">
      <c r="A47" s="119">
        <v>43312</v>
      </c>
      <c r="B47" s="120">
        <v>16380</v>
      </c>
      <c r="C47" s="121">
        <v>2.2970000000000002</v>
      </c>
      <c r="D47" s="122"/>
      <c r="F47" s="119"/>
      <c r="G47" s="120">
        <v>5400</v>
      </c>
      <c r="H47" s="121">
        <v>1.9219999999999999</v>
      </c>
      <c r="I47" s="122"/>
      <c r="K47" s="123"/>
      <c r="L47" s="124">
        <v>16380</v>
      </c>
      <c r="M47" s="125">
        <v>1.51</v>
      </c>
      <c r="N47" s="126">
        <f>SUM(L43:L47)</f>
        <v>81900</v>
      </c>
    </row>
    <row r="48" spans="1:14" x14ac:dyDescent="0.35">
      <c r="A48" s="119"/>
      <c r="B48" s="127">
        <v>5400</v>
      </c>
      <c r="C48" s="128">
        <v>2.3839999999999999</v>
      </c>
      <c r="D48" s="122"/>
      <c r="F48" s="119"/>
      <c r="G48" s="120">
        <v>16380</v>
      </c>
      <c r="H48" s="121">
        <v>1.73</v>
      </c>
      <c r="I48" s="122"/>
      <c r="K48" s="119">
        <v>42597</v>
      </c>
      <c r="L48" s="120">
        <v>5400</v>
      </c>
      <c r="M48" s="121">
        <v>1.5820000000000001</v>
      </c>
      <c r="N48" s="122"/>
    </row>
    <row r="49" spans="1:14" x14ac:dyDescent="0.35">
      <c r="A49" s="119"/>
      <c r="B49" s="120">
        <v>16380</v>
      </c>
      <c r="C49" s="121">
        <v>2.2490000000000001</v>
      </c>
      <c r="D49" s="122"/>
      <c r="F49" s="119">
        <v>42944</v>
      </c>
      <c r="G49" s="120">
        <v>16380</v>
      </c>
      <c r="H49" s="121">
        <v>1.73</v>
      </c>
      <c r="I49" s="122"/>
      <c r="K49" s="119"/>
      <c r="L49" s="120">
        <v>16380</v>
      </c>
      <c r="M49" s="121">
        <v>1.51</v>
      </c>
      <c r="N49" s="122"/>
    </row>
    <row r="50" spans="1:14" ht="15" thickBot="1" x14ac:dyDescent="0.4">
      <c r="A50" s="123"/>
      <c r="B50" s="124">
        <v>16380</v>
      </c>
      <c r="C50" s="125">
        <v>2.278</v>
      </c>
      <c r="D50" s="126">
        <f>SUM(B45:B50)</f>
        <v>87300</v>
      </c>
      <c r="F50" s="119"/>
      <c r="G50" s="120">
        <v>16380</v>
      </c>
      <c r="H50" s="121">
        <v>1.73</v>
      </c>
      <c r="I50" s="122"/>
      <c r="K50" s="119"/>
      <c r="L50" s="120">
        <v>16380</v>
      </c>
      <c r="M50" s="121">
        <v>1.51</v>
      </c>
      <c r="N50" s="122"/>
    </row>
    <row r="51" spans="1:14" ht="15" thickBot="1" x14ac:dyDescent="0.4">
      <c r="A51" s="119">
        <v>43322</v>
      </c>
      <c r="B51" s="127">
        <v>5460</v>
      </c>
      <c r="C51" s="128">
        <v>2.298</v>
      </c>
      <c r="D51" s="122"/>
      <c r="F51" s="123"/>
      <c r="G51" s="124">
        <v>16380</v>
      </c>
      <c r="H51" s="125">
        <v>1.73</v>
      </c>
      <c r="I51" s="126">
        <f>SUM(G46:G51)</f>
        <v>87300</v>
      </c>
      <c r="K51" s="119">
        <v>42612</v>
      </c>
      <c r="L51" s="120">
        <v>16380</v>
      </c>
      <c r="M51" s="121">
        <v>1.51</v>
      </c>
      <c r="N51" s="122"/>
    </row>
    <row r="52" spans="1:14" ht="15" thickBot="1" x14ac:dyDescent="0.4">
      <c r="A52" s="119"/>
      <c r="B52" s="120">
        <v>16380</v>
      </c>
      <c r="C52" s="121">
        <v>2.298</v>
      </c>
      <c r="D52" s="122"/>
      <c r="F52" s="119">
        <v>42962</v>
      </c>
      <c r="G52" s="120">
        <v>16380</v>
      </c>
      <c r="H52" s="121">
        <v>1.7290000000000001</v>
      </c>
      <c r="I52" s="122"/>
      <c r="K52" s="119"/>
      <c r="L52" s="120">
        <v>16380</v>
      </c>
      <c r="M52" s="121">
        <v>1.54</v>
      </c>
      <c r="N52" s="122">
        <f>SUM(L48:L52)</f>
        <v>70920</v>
      </c>
    </row>
    <row r="53" spans="1:14" x14ac:dyDescent="0.35">
      <c r="A53" s="119">
        <v>43342</v>
      </c>
      <c r="B53" s="120">
        <v>16380</v>
      </c>
      <c r="C53" s="121">
        <v>2.298</v>
      </c>
      <c r="D53" s="122"/>
      <c r="F53" s="119"/>
      <c r="G53" s="120">
        <v>5400</v>
      </c>
      <c r="H53" s="121">
        <v>1.976</v>
      </c>
      <c r="I53" s="122"/>
      <c r="K53" s="97">
        <v>42628</v>
      </c>
      <c r="L53" s="98">
        <v>5400</v>
      </c>
      <c r="M53" s="99">
        <v>1.657</v>
      </c>
      <c r="N53" s="100"/>
    </row>
    <row r="54" spans="1:14" x14ac:dyDescent="0.35">
      <c r="A54" s="119"/>
      <c r="B54" s="120">
        <v>16380</v>
      </c>
      <c r="C54" s="121">
        <v>2.2789999999999999</v>
      </c>
      <c r="D54" s="122"/>
      <c r="F54" s="119"/>
      <c r="G54" s="120">
        <v>16380</v>
      </c>
      <c r="H54" s="121">
        <v>1.748</v>
      </c>
      <c r="I54" s="122"/>
      <c r="K54" s="119"/>
      <c r="L54" s="120">
        <v>16380</v>
      </c>
      <c r="M54" s="121">
        <v>1.5</v>
      </c>
      <c r="N54" s="122"/>
    </row>
    <row r="55" spans="1:14" x14ac:dyDescent="0.35">
      <c r="A55" s="119"/>
      <c r="B55" s="127">
        <v>5400</v>
      </c>
      <c r="C55" s="128">
        <v>2.5539999999999998</v>
      </c>
      <c r="D55" s="122"/>
      <c r="F55" s="119"/>
      <c r="G55" s="120">
        <v>16380</v>
      </c>
      <c r="H55" s="121">
        <v>1.748</v>
      </c>
      <c r="I55" s="122"/>
      <c r="K55" s="119"/>
      <c r="L55" s="120">
        <v>16380</v>
      </c>
      <c r="M55" s="121">
        <v>1.52</v>
      </c>
      <c r="N55" s="122"/>
    </row>
    <row r="56" spans="1:14" ht="15" thickBot="1" x14ac:dyDescent="0.4">
      <c r="A56" s="119"/>
      <c r="B56" s="120">
        <v>16380</v>
      </c>
      <c r="C56" s="121">
        <v>2.2789999999999999</v>
      </c>
      <c r="D56" s="122">
        <f>SUM(B51:B56)</f>
        <v>76380</v>
      </c>
      <c r="F56" s="119">
        <v>42977</v>
      </c>
      <c r="G56" s="120">
        <v>16380</v>
      </c>
      <c r="H56" s="121">
        <v>1.748</v>
      </c>
      <c r="I56" s="122"/>
      <c r="K56" s="119"/>
      <c r="L56" s="120">
        <v>16380</v>
      </c>
      <c r="M56" s="121">
        <v>1.52</v>
      </c>
      <c r="N56" s="122"/>
    </row>
    <row r="57" spans="1:14" x14ac:dyDescent="0.35">
      <c r="A57" s="97">
        <v>43356</v>
      </c>
      <c r="B57" s="98">
        <v>16380</v>
      </c>
      <c r="C57" s="99">
        <v>2.278</v>
      </c>
      <c r="D57" s="100"/>
      <c r="F57" s="119"/>
      <c r="G57" s="120">
        <v>16380</v>
      </c>
      <c r="H57" s="121">
        <v>1.748</v>
      </c>
      <c r="I57" s="122"/>
      <c r="K57" s="119">
        <v>42643</v>
      </c>
      <c r="L57" s="120">
        <v>16380</v>
      </c>
      <c r="M57" s="121">
        <v>1.6</v>
      </c>
      <c r="N57" s="122"/>
    </row>
    <row r="58" spans="1:14" ht="15" thickBot="1" x14ac:dyDescent="0.4">
      <c r="A58" s="119"/>
      <c r="B58" s="120">
        <v>16380</v>
      </c>
      <c r="C58" s="121">
        <v>2.327</v>
      </c>
      <c r="D58" s="122"/>
      <c r="F58" s="119"/>
      <c r="G58" s="120">
        <v>16380</v>
      </c>
      <c r="H58" s="121">
        <v>1.748</v>
      </c>
      <c r="I58" s="122">
        <f>SUM(G52:G58)</f>
        <v>103680</v>
      </c>
      <c r="K58" s="119"/>
      <c r="L58" s="120">
        <v>16380</v>
      </c>
      <c r="M58" s="121">
        <v>1.6</v>
      </c>
      <c r="N58" s="122"/>
    </row>
    <row r="59" spans="1:14" ht="15" thickBot="1" x14ac:dyDescent="0.4">
      <c r="A59" s="119">
        <v>43371</v>
      </c>
      <c r="B59" s="120">
        <v>16380</v>
      </c>
      <c r="C59" s="121">
        <v>2.327</v>
      </c>
      <c r="D59" s="122"/>
      <c r="F59" s="97">
        <v>42993</v>
      </c>
      <c r="G59" s="98">
        <v>16380</v>
      </c>
      <c r="H59" s="99">
        <v>1.7746999999999999</v>
      </c>
      <c r="I59" s="100"/>
      <c r="K59" s="119"/>
      <c r="L59" s="120">
        <v>16380</v>
      </c>
      <c r="M59" s="121">
        <v>1.6</v>
      </c>
      <c r="N59" s="122">
        <f>SUM(L53:L59)</f>
        <v>103680</v>
      </c>
    </row>
    <row r="60" spans="1:14" x14ac:dyDescent="0.35">
      <c r="A60" s="119"/>
      <c r="B60" s="127">
        <v>5400</v>
      </c>
      <c r="C60" s="128">
        <v>2.613</v>
      </c>
      <c r="D60" s="122"/>
      <c r="F60" s="119"/>
      <c r="G60" s="120">
        <v>16380</v>
      </c>
      <c r="H60" s="121">
        <v>1.766</v>
      </c>
      <c r="I60" s="122"/>
      <c r="K60" s="97">
        <v>42658</v>
      </c>
      <c r="L60" s="98">
        <v>5400</v>
      </c>
      <c r="M60" s="99">
        <v>1.7789999999999999</v>
      </c>
      <c r="N60" s="100"/>
    </row>
    <row r="61" spans="1:14" x14ac:dyDescent="0.35">
      <c r="A61" s="119"/>
      <c r="B61" s="120">
        <v>400</v>
      </c>
      <c r="C61" s="121">
        <v>2.7</v>
      </c>
      <c r="D61" s="122"/>
      <c r="F61" s="119"/>
      <c r="G61" s="120">
        <v>5400</v>
      </c>
      <c r="H61" s="121">
        <v>2.0499999999999998</v>
      </c>
      <c r="I61" s="122"/>
      <c r="K61" s="119"/>
      <c r="L61" s="120">
        <v>16380</v>
      </c>
      <c r="M61" s="121">
        <v>1.6160000000000001</v>
      </c>
      <c r="N61" s="122"/>
    </row>
    <row r="62" spans="1:14" x14ac:dyDescent="0.35">
      <c r="A62" s="119"/>
      <c r="B62" s="120">
        <v>16380</v>
      </c>
      <c r="C62" s="121">
        <v>2.327</v>
      </c>
      <c r="D62" s="122"/>
      <c r="F62" s="119">
        <v>43007</v>
      </c>
      <c r="G62" s="120">
        <v>16380</v>
      </c>
      <c r="H62" s="121">
        <v>1.776</v>
      </c>
      <c r="I62" s="122"/>
      <c r="K62" s="101"/>
      <c r="L62" s="102">
        <v>16380</v>
      </c>
      <c r="M62" s="103">
        <v>1.538</v>
      </c>
      <c r="N62" s="104"/>
    </row>
    <row r="63" spans="1:14" ht="15" thickBot="1" x14ac:dyDescent="0.4">
      <c r="A63" s="119"/>
      <c r="B63" s="120">
        <v>16380</v>
      </c>
      <c r="C63" s="121">
        <v>2.327</v>
      </c>
      <c r="D63" s="122">
        <f>SUM(B57:B63)</f>
        <v>87700</v>
      </c>
      <c r="F63" s="119"/>
      <c r="G63" s="120">
        <v>16380</v>
      </c>
      <c r="H63" s="121">
        <v>1.776</v>
      </c>
      <c r="I63" s="122"/>
      <c r="K63" s="101">
        <v>42674</v>
      </c>
      <c r="L63" s="102">
        <v>16380</v>
      </c>
      <c r="M63" s="103">
        <v>1.6259999999999999</v>
      </c>
      <c r="N63" s="104"/>
    </row>
    <row r="64" spans="1:14" ht="15" thickBot="1" x14ac:dyDescent="0.4">
      <c r="A64" s="97">
        <v>43384</v>
      </c>
      <c r="B64" s="98">
        <v>16380</v>
      </c>
      <c r="C64" s="99">
        <v>2.41</v>
      </c>
      <c r="D64" s="100"/>
      <c r="F64" s="119"/>
      <c r="G64" s="120">
        <v>16380</v>
      </c>
      <c r="H64" s="121">
        <v>1.806</v>
      </c>
      <c r="I64" s="122">
        <f>SUM(G59:G64)</f>
        <v>87300</v>
      </c>
      <c r="K64" s="107"/>
      <c r="L64" s="108">
        <v>16380</v>
      </c>
      <c r="M64" s="109">
        <v>1.6259999999999999</v>
      </c>
      <c r="N64" s="110">
        <f>SUM(L60:L64)</f>
        <v>70920</v>
      </c>
    </row>
    <row r="65" spans="1:14" x14ac:dyDescent="0.35">
      <c r="A65" s="119"/>
      <c r="B65" s="120">
        <v>16380</v>
      </c>
      <c r="C65" s="121">
        <v>2.52</v>
      </c>
      <c r="D65" s="122"/>
      <c r="F65" s="97">
        <v>43024</v>
      </c>
      <c r="G65" s="98">
        <v>16380</v>
      </c>
      <c r="H65" s="99">
        <v>1.827</v>
      </c>
      <c r="I65" s="100"/>
      <c r="K65" s="97">
        <v>42689</v>
      </c>
      <c r="L65" s="98">
        <v>16380</v>
      </c>
      <c r="M65" s="99">
        <v>1.6919999999999999</v>
      </c>
      <c r="N65" s="100"/>
    </row>
    <row r="66" spans="1:14" x14ac:dyDescent="0.35">
      <c r="A66" s="101">
        <v>43404</v>
      </c>
      <c r="B66" s="102">
        <v>16380</v>
      </c>
      <c r="C66" s="103">
        <v>2.52</v>
      </c>
      <c r="D66" s="104"/>
      <c r="F66" s="119"/>
      <c r="G66" s="120">
        <v>16380</v>
      </c>
      <c r="H66" s="121">
        <v>1.8069999999999999</v>
      </c>
      <c r="I66" s="122"/>
      <c r="K66" s="101"/>
      <c r="L66" s="102">
        <v>16380</v>
      </c>
      <c r="M66" s="103">
        <v>1.673</v>
      </c>
      <c r="N66" s="104"/>
    </row>
    <row r="67" spans="1:14" x14ac:dyDescent="0.35">
      <c r="A67" s="101"/>
      <c r="B67" s="105">
        <v>5400</v>
      </c>
      <c r="C67" s="106">
        <v>2.79</v>
      </c>
      <c r="D67" s="104"/>
      <c r="F67" s="101">
        <v>43039</v>
      </c>
      <c r="G67" s="102">
        <v>13650</v>
      </c>
      <c r="H67" s="103">
        <v>1.8069999999999999</v>
      </c>
      <c r="I67" s="104"/>
      <c r="K67" s="101">
        <v>42704</v>
      </c>
      <c r="L67" s="102">
        <v>5400</v>
      </c>
      <c r="M67" s="103">
        <v>1.75</v>
      </c>
      <c r="N67" s="104"/>
    </row>
    <row r="68" spans="1:14" x14ac:dyDescent="0.35">
      <c r="A68" s="101"/>
      <c r="B68" s="102">
        <v>16380</v>
      </c>
      <c r="C68" s="103">
        <v>2.52</v>
      </c>
      <c r="D68" s="104"/>
      <c r="F68" s="101"/>
      <c r="G68" s="102">
        <v>5400</v>
      </c>
      <c r="H68" s="103">
        <v>2.08</v>
      </c>
      <c r="I68" s="104"/>
      <c r="K68" s="101"/>
      <c r="L68" s="102">
        <v>16380</v>
      </c>
      <c r="M68" s="103">
        <v>1.663</v>
      </c>
      <c r="N68" s="104"/>
    </row>
    <row r="69" spans="1:14" ht="15" thickBot="1" x14ac:dyDescent="0.4">
      <c r="A69" s="107"/>
      <c r="B69" s="108">
        <v>16380</v>
      </c>
      <c r="C69" s="109">
        <v>2.4900000000000002</v>
      </c>
      <c r="D69" s="110">
        <f>SUM(B64:B69)</f>
        <v>87300</v>
      </c>
      <c r="F69" s="101"/>
      <c r="G69" s="102">
        <v>16380</v>
      </c>
      <c r="H69" s="103">
        <v>1.847</v>
      </c>
      <c r="I69" s="104"/>
      <c r="K69" s="101"/>
      <c r="L69" s="130">
        <v>16380</v>
      </c>
      <c r="M69" s="103">
        <v>1.673</v>
      </c>
      <c r="N69" s="104"/>
    </row>
    <row r="70" spans="1:14" ht="15" thickBot="1" x14ac:dyDescent="0.4">
      <c r="A70" s="97">
        <v>43416</v>
      </c>
      <c r="B70" s="98">
        <v>16380</v>
      </c>
      <c r="C70" s="99">
        <v>2.48</v>
      </c>
      <c r="D70" s="100"/>
      <c r="F70" s="107"/>
      <c r="G70" s="108">
        <v>16380</v>
      </c>
      <c r="H70" s="109">
        <v>1.847</v>
      </c>
      <c r="I70" s="110">
        <f>SUM(G65:G70)</f>
        <v>84570</v>
      </c>
      <c r="K70" s="111"/>
      <c r="L70" s="117">
        <v>16380</v>
      </c>
      <c r="M70" s="118">
        <v>1.6919999999999999</v>
      </c>
      <c r="N70" s="114">
        <f>SUM(L65:L70)</f>
        <v>87300</v>
      </c>
    </row>
    <row r="71" spans="1:14" x14ac:dyDescent="0.35">
      <c r="A71" s="101"/>
      <c r="B71" s="102">
        <v>16380</v>
      </c>
      <c r="C71" s="103">
        <v>2.48</v>
      </c>
      <c r="D71" s="104"/>
      <c r="F71" s="97">
        <v>43049</v>
      </c>
      <c r="G71" s="98">
        <v>16380</v>
      </c>
      <c r="H71" s="99">
        <v>1.8680000000000001</v>
      </c>
      <c r="I71" s="100"/>
      <c r="K71" s="97">
        <v>42719</v>
      </c>
      <c r="L71" s="98">
        <v>16380</v>
      </c>
      <c r="M71" s="99">
        <v>1.613</v>
      </c>
      <c r="N71" s="100"/>
    </row>
    <row r="72" spans="1:14" x14ac:dyDescent="0.35">
      <c r="A72" s="101">
        <v>43434</v>
      </c>
      <c r="B72" s="102">
        <v>16380</v>
      </c>
      <c r="C72" s="103">
        <v>2.4700000000000002</v>
      </c>
      <c r="D72" s="104"/>
      <c r="F72" s="101"/>
      <c r="G72" s="102">
        <v>16380</v>
      </c>
      <c r="H72" s="103">
        <v>1.9370000000000001</v>
      </c>
      <c r="I72" s="104"/>
      <c r="K72" s="101"/>
      <c r="L72" s="102">
        <v>16380</v>
      </c>
      <c r="M72" s="103">
        <v>1.778</v>
      </c>
      <c r="N72" s="104"/>
    </row>
    <row r="73" spans="1:14" x14ac:dyDescent="0.35">
      <c r="A73" s="101"/>
      <c r="B73" s="129">
        <v>5400</v>
      </c>
      <c r="C73" s="106">
        <v>2.4350000000000001</v>
      </c>
      <c r="D73" s="104"/>
      <c r="F73" s="101">
        <v>43069</v>
      </c>
      <c r="G73" s="102">
        <v>16380</v>
      </c>
      <c r="H73" s="103">
        <v>1.9670000000000001</v>
      </c>
      <c r="I73" s="104"/>
      <c r="K73" s="101">
        <v>42734</v>
      </c>
      <c r="L73" s="102">
        <v>5400</v>
      </c>
      <c r="M73" s="103">
        <v>1.9890000000000001</v>
      </c>
      <c r="N73" s="104"/>
    </row>
    <row r="74" spans="1:14" ht="15" thickBot="1" x14ac:dyDescent="0.4">
      <c r="A74" s="111"/>
      <c r="B74" s="117">
        <v>16380</v>
      </c>
      <c r="C74" s="118">
        <v>2.4700000000000002</v>
      </c>
      <c r="D74" s="114">
        <f>SUM(B70:B74)</f>
        <v>70920</v>
      </c>
      <c r="F74" s="101"/>
      <c r="G74" s="102">
        <v>5400</v>
      </c>
      <c r="H74" s="103">
        <v>2.1840000000000002</v>
      </c>
      <c r="I74" s="104"/>
      <c r="K74" s="101"/>
      <c r="L74" s="130">
        <v>16380</v>
      </c>
      <c r="M74" s="103">
        <v>1.831</v>
      </c>
      <c r="N74" s="104"/>
    </row>
    <row r="75" spans="1:14" ht="15" thickBot="1" x14ac:dyDescent="0.4">
      <c r="A75" s="97">
        <v>43447</v>
      </c>
      <c r="B75" s="98">
        <v>16380</v>
      </c>
      <c r="C75" s="99">
        <v>2.42</v>
      </c>
      <c r="D75" s="100"/>
      <c r="F75" s="101"/>
      <c r="G75" s="130">
        <v>16380</v>
      </c>
      <c r="H75" s="103">
        <v>1.9670000000000001</v>
      </c>
      <c r="I75" s="104"/>
      <c r="K75" s="111"/>
      <c r="L75" s="117">
        <v>16380</v>
      </c>
      <c r="M75" s="118">
        <v>1.8580000000000001</v>
      </c>
      <c r="N75" s="114">
        <f>SUM(L71:L75)</f>
        <v>70920</v>
      </c>
    </row>
    <row r="76" spans="1:14" ht="15" thickBot="1" x14ac:dyDescent="0.4">
      <c r="A76" s="101"/>
      <c r="B76" s="102">
        <v>16380</v>
      </c>
      <c r="C76" s="103">
        <v>2.3679999999999999</v>
      </c>
      <c r="D76" s="104"/>
      <c r="F76" s="111"/>
      <c r="G76" s="117">
        <v>16380</v>
      </c>
      <c r="H76" s="118">
        <v>1.9470000000000001</v>
      </c>
      <c r="I76" s="114">
        <f>SUM(G71:G76)</f>
        <v>87300</v>
      </c>
      <c r="M76" s="24">
        <f>AVERAGE(M9:M75)</f>
        <v>1.4920895522388056</v>
      </c>
    </row>
    <row r="77" spans="1:14" ht="16" thickBot="1" x14ac:dyDescent="0.4">
      <c r="A77" s="101"/>
      <c r="B77" s="102">
        <v>16380</v>
      </c>
      <c r="C77" s="103">
        <v>2.3679999999999999</v>
      </c>
      <c r="D77" s="104"/>
      <c r="F77" s="97">
        <v>43084</v>
      </c>
      <c r="G77" s="98">
        <v>16380</v>
      </c>
      <c r="H77" s="99">
        <v>1.907</v>
      </c>
      <c r="I77" s="100"/>
      <c r="K77" s="132" t="s">
        <v>63</v>
      </c>
      <c r="L77" s="133">
        <f>SUM(L9:L75)</f>
        <v>973950</v>
      </c>
      <c r="M77" s="134"/>
      <c r="N77" s="135">
        <f>SUM(N9:N75)</f>
        <v>973950</v>
      </c>
    </row>
    <row r="78" spans="1:14" x14ac:dyDescent="0.35">
      <c r="A78" s="101">
        <v>43465</v>
      </c>
      <c r="B78" s="130">
        <v>13650</v>
      </c>
      <c r="C78" s="103">
        <v>2.3380000000000001</v>
      </c>
      <c r="D78" s="104"/>
      <c r="F78" s="101"/>
      <c r="G78" s="102">
        <v>16380</v>
      </c>
      <c r="H78" s="103">
        <v>1.907</v>
      </c>
      <c r="I78" s="104"/>
    </row>
    <row r="79" spans="1:14" x14ac:dyDescent="0.35">
      <c r="A79" s="107"/>
      <c r="B79" s="131">
        <v>5400</v>
      </c>
      <c r="C79" s="116">
        <v>1.9670000000000001</v>
      </c>
      <c r="D79" s="110"/>
      <c r="F79" s="101"/>
      <c r="G79" s="102">
        <v>16380</v>
      </c>
      <c r="H79" s="103">
        <v>1.897</v>
      </c>
      <c r="I79" s="104"/>
    </row>
    <row r="80" spans="1:14" ht="15" thickBot="1" x14ac:dyDescent="0.4">
      <c r="A80" s="111"/>
      <c r="B80" s="117">
        <v>13650</v>
      </c>
      <c r="C80" s="118">
        <v>2.3380000000000001</v>
      </c>
      <c r="D80" s="114">
        <f>SUM(B75:B80)</f>
        <v>81840</v>
      </c>
      <c r="F80" s="101">
        <v>43096</v>
      </c>
      <c r="G80" s="130">
        <v>16380</v>
      </c>
      <c r="H80" s="103">
        <v>1.917</v>
      </c>
      <c r="I80" s="104"/>
    </row>
    <row r="81" spans="1:11" ht="15" thickBot="1" x14ac:dyDescent="0.4">
      <c r="C81" s="24">
        <f>AVERAGE(C9:C80)</f>
        <v>2.2342638888888882</v>
      </c>
      <c r="F81" s="107"/>
      <c r="G81" s="137">
        <v>5400</v>
      </c>
      <c r="H81" s="109">
        <v>2.214</v>
      </c>
      <c r="I81" s="110"/>
    </row>
    <row r="82" spans="1:11" ht="16" thickBot="1" x14ac:dyDescent="0.4">
      <c r="A82" s="132" t="s">
        <v>63</v>
      </c>
      <c r="B82" s="133">
        <f>SUM(B9:B80)</f>
        <v>998860</v>
      </c>
      <c r="C82" s="134"/>
      <c r="D82" s="135">
        <f>SUM(D9:D80)</f>
        <v>998860</v>
      </c>
      <c r="F82" s="111"/>
      <c r="G82" s="117">
        <v>16380</v>
      </c>
      <c r="H82" s="118">
        <v>1.9470000000000001</v>
      </c>
      <c r="I82" s="114">
        <f>SUM(G77:G82)</f>
        <v>87300</v>
      </c>
    </row>
    <row r="83" spans="1:11" ht="15" thickBot="1" x14ac:dyDescent="0.4">
      <c r="H83" s="24">
        <f>AVERAGE(H9:H82)</f>
        <v>1.8403337837837836</v>
      </c>
    </row>
    <row r="84" spans="1:11" ht="16" thickBot="1" x14ac:dyDescent="0.4">
      <c r="F84" s="132" t="s">
        <v>63</v>
      </c>
      <c r="G84" s="133">
        <f>SUM(G9:G82)</f>
        <v>1088610</v>
      </c>
      <c r="H84" s="134"/>
      <c r="I84" s="135">
        <f>SUM(I9:I82)</f>
        <v>1088610</v>
      </c>
      <c r="K84" s="226"/>
    </row>
    <row r="86" spans="1:11" x14ac:dyDescent="0.35">
      <c r="K86" s="227"/>
    </row>
    <row r="87" spans="1:11" x14ac:dyDescent="0.35">
      <c r="K87" s="22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C6F73-3230-4D36-BAED-6F8476F83E2C}">
  <dimension ref="A2:AP14"/>
  <sheetViews>
    <sheetView workbookViewId="0">
      <selection activeCell="AJ17" sqref="AJ17"/>
    </sheetView>
  </sheetViews>
  <sheetFormatPr defaultRowHeight="14.5" x14ac:dyDescent="0.35"/>
  <cols>
    <col min="1" max="8" width="3.7265625" customWidth="1"/>
    <col min="9" max="9" width="4.1796875" customWidth="1"/>
    <col min="10" max="10" width="5.26953125" customWidth="1"/>
    <col min="11" max="11" width="3.7265625" customWidth="1"/>
    <col min="12" max="12" width="4" customWidth="1"/>
    <col min="13" max="13" width="3.7265625" customWidth="1"/>
    <col min="14" max="14" width="0.7265625" customWidth="1"/>
    <col min="15" max="16" width="3.7265625" customWidth="1"/>
    <col min="17" max="17" width="0.54296875" customWidth="1"/>
    <col min="18" max="18" width="3.7265625" customWidth="1"/>
    <col min="19" max="19" width="4.453125" customWidth="1"/>
    <col min="20" max="21" width="3.7265625" customWidth="1"/>
    <col min="22" max="22" width="0.54296875" customWidth="1"/>
    <col min="23" max="23" width="3.7265625" customWidth="1"/>
    <col min="24" max="24" width="0.54296875" customWidth="1"/>
    <col min="25" max="25" width="3.54296875" customWidth="1"/>
    <col min="26" max="26" width="0.453125" customWidth="1"/>
    <col min="27" max="27" width="4.26953125" customWidth="1"/>
    <col min="28" max="28" width="3.7265625" customWidth="1"/>
    <col min="29" max="29" width="4" customWidth="1"/>
    <col min="30" max="30" width="3.7265625" customWidth="1"/>
    <col min="31" max="31" width="4" customWidth="1"/>
    <col min="32" max="32" width="3.7265625" customWidth="1"/>
    <col min="33" max="33" width="4.26953125" customWidth="1"/>
    <col min="34" max="34" width="3.7265625" customWidth="1"/>
    <col min="35" max="35" width="4.1796875" customWidth="1"/>
    <col min="36" max="36" width="4.54296875" customWidth="1"/>
    <col min="37" max="38" width="3.7265625" customWidth="1"/>
    <col min="39" max="39" width="4" customWidth="1"/>
    <col min="40" max="40" width="6.26953125" customWidth="1"/>
    <col min="41" max="41" width="13" bestFit="1" customWidth="1"/>
  </cols>
  <sheetData>
    <row r="2" spans="1:42" x14ac:dyDescent="0.35">
      <c r="A2" s="212" t="s">
        <v>66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  <c r="R2" s="213"/>
      <c r="S2" s="213"/>
      <c r="T2" s="213"/>
      <c r="U2" s="213"/>
      <c r="V2" s="213"/>
      <c r="W2" s="213"/>
      <c r="X2" s="213"/>
      <c r="Y2" s="213"/>
      <c r="Z2" s="213"/>
      <c r="AA2" s="213"/>
      <c r="AB2" s="213"/>
      <c r="AC2" s="213"/>
      <c r="AD2" s="213"/>
      <c r="AE2" s="213"/>
      <c r="AF2" s="213"/>
      <c r="AG2" s="213"/>
      <c r="AH2" s="213"/>
      <c r="AI2" s="213"/>
      <c r="AJ2" s="213"/>
      <c r="AK2" s="213"/>
      <c r="AL2" s="213"/>
      <c r="AM2" s="213"/>
      <c r="AN2" s="214"/>
    </row>
    <row r="3" spans="1:42" x14ac:dyDescent="0.35">
      <c r="A3" s="141"/>
    </row>
    <row r="4" spans="1:42" x14ac:dyDescent="0.35">
      <c r="A4" s="215" t="s">
        <v>67</v>
      </c>
      <c r="B4" s="216"/>
      <c r="C4" s="216"/>
      <c r="D4" s="216"/>
      <c r="E4" s="216"/>
      <c r="F4" s="216"/>
      <c r="G4" s="216"/>
      <c r="H4" s="216"/>
      <c r="I4" s="217"/>
      <c r="J4" s="221" t="s">
        <v>68</v>
      </c>
      <c r="K4" s="206" t="s">
        <v>69</v>
      </c>
      <c r="L4" s="211"/>
      <c r="M4" s="211"/>
      <c r="N4" s="211"/>
      <c r="O4" s="211"/>
      <c r="P4" s="211"/>
      <c r="Q4" s="211"/>
      <c r="R4" s="211"/>
      <c r="S4" s="211"/>
      <c r="T4" s="211"/>
      <c r="U4" s="211"/>
      <c r="V4" s="211"/>
      <c r="W4" s="211"/>
      <c r="X4" s="211"/>
      <c r="Y4" s="211"/>
      <c r="Z4" s="211"/>
      <c r="AA4" s="211"/>
      <c r="AB4" s="211"/>
      <c r="AC4" s="211"/>
      <c r="AD4" s="211"/>
      <c r="AE4" s="211"/>
      <c r="AF4" s="211"/>
      <c r="AG4" s="211"/>
      <c r="AH4" s="211"/>
      <c r="AI4" s="211"/>
      <c r="AJ4" s="211"/>
      <c r="AK4" s="211"/>
      <c r="AL4" s="211"/>
      <c r="AM4" s="207"/>
      <c r="AN4" s="223" t="s">
        <v>70</v>
      </c>
      <c r="AO4" s="225" t="s">
        <v>71</v>
      </c>
    </row>
    <row r="5" spans="1:42" x14ac:dyDescent="0.35">
      <c r="A5" s="218"/>
      <c r="B5" s="219"/>
      <c r="C5" s="219"/>
      <c r="D5" s="219"/>
      <c r="E5" s="219"/>
      <c r="F5" s="219"/>
      <c r="G5" s="219"/>
      <c r="H5" s="219"/>
      <c r="I5" s="220"/>
      <c r="J5" s="222"/>
      <c r="K5" s="206">
        <v>1</v>
      </c>
      <c r="L5" s="211"/>
      <c r="M5" s="206">
        <v>2</v>
      </c>
      <c r="N5" s="211"/>
      <c r="O5" s="207"/>
      <c r="P5" s="206">
        <v>3</v>
      </c>
      <c r="Q5" s="211"/>
      <c r="R5" s="211"/>
      <c r="S5" s="206">
        <v>4</v>
      </c>
      <c r="T5" s="207"/>
      <c r="U5" s="206">
        <v>5</v>
      </c>
      <c r="V5" s="211"/>
      <c r="W5" s="207"/>
      <c r="X5" s="206">
        <v>6</v>
      </c>
      <c r="Y5" s="211"/>
      <c r="Z5" s="211"/>
      <c r="AA5" s="207"/>
      <c r="AB5" s="206">
        <v>7</v>
      </c>
      <c r="AC5" s="207"/>
      <c r="AD5" s="206">
        <v>8</v>
      </c>
      <c r="AE5" s="207"/>
      <c r="AF5" s="206">
        <v>9</v>
      </c>
      <c r="AG5" s="207"/>
      <c r="AH5" s="206">
        <v>10</v>
      </c>
      <c r="AI5" s="207"/>
      <c r="AJ5" s="206">
        <v>11</v>
      </c>
      <c r="AK5" s="207"/>
      <c r="AL5" s="206">
        <v>12</v>
      </c>
      <c r="AM5" s="207"/>
      <c r="AN5" s="224"/>
      <c r="AO5" s="225"/>
    </row>
    <row r="6" spans="1:42" x14ac:dyDescent="0.35">
      <c r="A6" s="141"/>
    </row>
    <row r="7" spans="1:42" x14ac:dyDescent="0.35">
      <c r="A7" s="208" t="s">
        <v>72</v>
      </c>
      <c r="B7" s="209"/>
      <c r="C7" s="209"/>
      <c r="D7" s="209"/>
      <c r="E7" s="209"/>
      <c r="F7" s="209"/>
      <c r="G7" s="209"/>
      <c r="H7" s="209"/>
      <c r="I7" s="209"/>
      <c r="J7" s="209"/>
      <c r="K7" s="209"/>
      <c r="L7" s="209"/>
      <c r="M7" s="209"/>
      <c r="N7" s="209"/>
      <c r="O7" s="209"/>
      <c r="P7" s="209"/>
      <c r="Q7" s="209"/>
      <c r="R7" s="209"/>
      <c r="S7" s="209"/>
      <c r="T7" s="209"/>
      <c r="U7" s="209"/>
      <c r="V7" s="209"/>
      <c r="W7" s="209"/>
      <c r="X7" s="209"/>
      <c r="Y7" s="209"/>
      <c r="Z7" s="209"/>
      <c r="AA7" s="209"/>
      <c r="AB7" s="209"/>
      <c r="AC7" s="209"/>
      <c r="AD7" s="209"/>
      <c r="AE7" s="209"/>
      <c r="AF7" s="209"/>
      <c r="AG7" s="209"/>
      <c r="AH7" s="209"/>
      <c r="AI7" s="209"/>
      <c r="AJ7" s="209"/>
      <c r="AK7" s="209"/>
      <c r="AL7" s="209"/>
      <c r="AM7" s="209"/>
      <c r="AN7" s="210"/>
    </row>
    <row r="8" spans="1:42" x14ac:dyDescent="0.35">
      <c r="G8" s="141"/>
      <c r="H8" s="141"/>
      <c r="I8" s="141"/>
      <c r="J8" s="141"/>
      <c r="K8" s="141"/>
      <c r="L8" s="141"/>
      <c r="M8" s="141"/>
      <c r="N8" s="141"/>
      <c r="O8" s="141"/>
      <c r="P8" s="141"/>
      <c r="Q8" s="141"/>
      <c r="R8" s="141"/>
      <c r="S8" s="141"/>
      <c r="T8" s="141"/>
      <c r="U8" s="141"/>
    </row>
    <row r="9" spans="1:42" x14ac:dyDescent="0.35">
      <c r="A9" s="197" t="s">
        <v>73</v>
      </c>
      <c r="B9" s="198"/>
      <c r="C9" s="198"/>
      <c r="D9" s="198"/>
      <c r="E9" s="198"/>
      <c r="F9" s="198"/>
      <c r="G9" s="198"/>
      <c r="H9" s="198"/>
      <c r="I9" s="199"/>
      <c r="J9" s="145" t="s">
        <v>74</v>
      </c>
      <c r="K9" s="192">
        <v>166490</v>
      </c>
      <c r="L9" s="193"/>
      <c r="M9" s="192">
        <v>157761</v>
      </c>
      <c r="N9" s="200"/>
      <c r="O9" s="193"/>
      <c r="P9" s="192">
        <v>180665</v>
      </c>
      <c r="Q9" s="200"/>
      <c r="R9" s="193"/>
      <c r="S9" s="192">
        <v>186160</v>
      </c>
      <c r="T9" s="193"/>
      <c r="U9" s="192">
        <v>201511</v>
      </c>
      <c r="V9" s="200"/>
      <c r="W9" s="193"/>
      <c r="X9" s="192">
        <v>201418</v>
      </c>
      <c r="Y9" s="200"/>
      <c r="Z9" s="200"/>
      <c r="AA9" s="193"/>
      <c r="AB9" s="192">
        <v>186351</v>
      </c>
      <c r="AC9" s="193"/>
      <c r="AD9" s="192">
        <v>187281</v>
      </c>
      <c r="AE9" s="193"/>
      <c r="AF9" s="192">
        <v>181669</v>
      </c>
      <c r="AG9" s="193"/>
      <c r="AH9" s="192">
        <v>191433</v>
      </c>
      <c r="AI9" s="193"/>
      <c r="AJ9" s="192">
        <v>176675</v>
      </c>
      <c r="AK9" s="193"/>
      <c r="AL9" s="192">
        <v>163782</v>
      </c>
      <c r="AM9" s="193"/>
      <c r="AN9" s="146">
        <v>3</v>
      </c>
      <c r="AO9" s="147">
        <f>SUM(K9:AM9)</f>
        <v>2181196</v>
      </c>
      <c r="AP9" t="s">
        <v>74</v>
      </c>
    </row>
    <row r="10" spans="1:42" ht="20" customHeight="1" x14ac:dyDescent="0.35">
      <c r="A10" s="148" t="s">
        <v>75</v>
      </c>
      <c r="B10" s="143"/>
      <c r="C10" s="204" t="s">
        <v>76</v>
      </c>
      <c r="D10" s="204"/>
      <c r="E10" s="204"/>
      <c r="F10" s="204"/>
      <c r="G10" s="204"/>
      <c r="H10" s="204"/>
      <c r="I10" s="205"/>
      <c r="J10" s="145" t="s">
        <v>74</v>
      </c>
      <c r="K10" s="192">
        <f>(25.8/100)*K9</f>
        <v>42954.42</v>
      </c>
      <c r="L10" s="193"/>
      <c r="M10" s="192">
        <f>(25.8/100)*M9</f>
        <v>40702.338000000003</v>
      </c>
      <c r="N10" s="200"/>
      <c r="O10" s="193"/>
      <c r="P10" s="192">
        <f>(25.8/100)*P9</f>
        <v>46611.57</v>
      </c>
      <c r="Q10" s="200"/>
      <c r="R10" s="193"/>
      <c r="S10" s="192">
        <f>(25.8/100)*S9</f>
        <v>48029.279999999999</v>
      </c>
      <c r="T10" s="193"/>
      <c r="U10" s="192">
        <f>(25.8/100)*U9</f>
        <v>51989.838000000003</v>
      </c>
      <c r="V10" s="200"/>
      <c r="W10" s="193"/>
      <c r="X10" s="201">
        <f>(25.8/100)*X9</f>
        <v>51965.844000000005</v>
      </c>
      <c r="Y10" s="202"/>
      <c r="Z10" s="202"/>
      <c r="AA10" s="203"/>
      <c r="AB10" s="192">
        <f>(25.8/100)*AB9</f>
        <v>48078.558000000005</v>
      </c>
      <c r="AC10" s="193"/>
      <c r="AD10" s="192">
        <f>(25.8/100)*AD9</f>
        <v>48318.498</v>
      </c>
      <c r="AE10" s="193"/>
      <c r="AF10" s="192">
        <f>(25.8/100)*AF9</f>
        <v>46870.601999999999</v>
      </c>
      <c r="AG10" s="193"/>
      <c r="AH10" s="192">
        <f>(25.8/100)*AH9</f>
        <v>49389.714</v>
      </c>
      <c r="AI10" s="193"/>
      <c r="AJ10" s="192">
        <f>(25.8/100)*AJ9</f>
        <v>45582.15</v>
      </c>
      <c r="AK10" s="193"/>
      <c r="AL10" s="192">
        <f>(25.8/100)*AL9</f>
        <v>42255.756000000001</v>
      </c>
      <c r="AM10" s="193"/>
      <c r="AN10" s="146">
        <v>2</v>
      </c>
      <c r="AO10" s="147"/>
    </row>
    <row r="11" spans="1:42" ht="21" customHeight="1" x14ac:dyDescent="0.35">
      <c r="A11" s="148" t="s">
        <v>77</v>
      </c>
      <c r="B11" s="143"/>
      <c r="C11" s="204" t="s">
        <v>76</v>
      </c>
      <c r="D11" s="204"/>
      <c r="E11" s="204"/>
      <c r="F11" s="204"/>
      <c r="G11" s="204"/>
      <c r="H11" s="204"/>
      <c r="I11" s="205"/>
      <c r="J11" s="145" t="s">
        <v>74</v>
      </c>
      <c r="K11" s="192">
        <f>(25.8/100)*K9</f>
        <v>42954.42</v>
      </c>
      <c r="L11" s="193"/>
      <c r="M11" s="192">
        <f>(25.8/100)*M9</f>
        <v>40702.338000000003</v>
      </c>
      <c r="N11" s="200"/>
      <c r="O11" s="193"/>
      <c r="P11" s="192">
        <f>(25.8/100)*P9</f>
        <v>46611.57</v>
      </c>
      <c r="Q11" s="200"/>
      <c r="R11" s="193"/>
      <c r="S11" s="192">
        <f>(25.8/100)*S9</f>
        <v>48029.279999999999</v>
      </c>
      <c r="T11" s="193"/>
      <c r="U11" s="192">
        <f>(25.8/100)*U9</f>
        <v>51989.838000000003</v>
      </c>
      <c r="V11" s="200"/>
      <c r="W11" s="193"/>
      <c r="X11" s="201">
        <f>(25.8/100)*X9</f>
        <v>51965.844000000005</v>
      </c>
      <c r="Y11" s="202"/>
      <c r="Z11" s="202"/>
      <c r="AA11" s="203"/>
      <c r="AB11" s="192">
        <f>(25.8/100)*AB9</f>
        <v>48078.558000000005</v>
      </c>
      <c r="AC11" s="193"/>
      <c r="AD11" s="192">
        <f>(25.8/100)*AD9</f>
        <v>48318.498</v>
      </c>
      <c r="AE11" s="193"/>
      <c r="AF11" s="192">
        <f>(25.8/100)*AF9</f>
        <v>46870.601999999999</v>
      </c>
      <c r="AG11" s="193"/>
      <c r="AH11" s="192">
        <f>(25.8/100)*AH9</f>
        <v>49389.714</v>
      </c>
      <c r="AI11" s="193"/>
      <c r="AJ11" s="192">
        <f>(25.8/100)*AJ9</f>
        <v>45582.15</v>
      </c>
      <c r="AK11" s="193"/>
      <c r="AL11" s="192">
        <f>(25.8/100)*AL9</f>
        <v>42255.756000000001</v>
      </c>
      <c r="AM11" s="193"/>
      <c r="AN11" s="146">
        <v>2</v>
      </c>
      <c r="AO11" s="147"/>
    </row>
    <row r="12" spans="1:42" x14ac:dyDescent="0.35">
      <c r="A12" s="142" t="s">
        <v>78</v>
      </c>
      <c r="B12" s="143"/>
      <c r="C12" s="143"/>
      <c r="D12" s="143"/>
      <c r="E12" s="143"/>
      <c r="F12" s="143"/>
      <c r="G12" s="143"/>
      <c r="H12" s="143"/>
      <c r="I12" s="144"/>
      <c r="J12" s="145" t="s">
        <v>74</v>
      </c>
      <c r="K12" s="192">
        <f>(35.84/100)*K9</f>
        <v>59670.016000000011</v>
      </c>
      <c r="L12" s="193"/>
      <c r="M12" s="192">
        <f>(35.84/100)*M9</f>
        <v>56541.542400000006</v>
      </c>
      <c r="N12" s="200"/>
      <c r="O12" s="193"/>
      <c r="P12" s="192">
        <f>(35.84/100)*P9</f>
        <v>64750.33600000001</v>
      </c>
      <c r="Q12" s="200"/>
      <c r="R12" s="193"/>
      <c r="S12" s="192">
        <f>(35.84/100)*S9</f>
        <v>66719.744000000006</v>
      </c>
      <c r="T12" s="193"/>
      <c r="U12" s="192">
        <f>(35.84/100)*U9</f>
        <v>72221.542400000006</v>
      </c>
      <c r="V12" s="200"/>
      <c r="W12" s="193"/>
      <c r="X12" s="201">
        <f>(35.84/100)*X9</f>
        <v>72188.211200000005</v>
      </c>
      <c r="Y12" s="202"/>
      <c r="Z12" s="202"/>
      <c r="AA12" s="203"/>
      <c r="AB12" s="192">
        <f>(35.84/100)*AB9</f>
        <v>66788.198400000008</v>
      </c>
      <c r="AC12" s="193"/>
      <c r="AD12" s="192">
        <f>(35.84/100)*AD9</f>
        <v>67121.510400000014</v>
      </c>
      <c r="AE12" s="193"/>
      <c r="AF12" s="192">
        <f>(35.84/100)*AF9</f>
        <v>65110.169600000008</v>
      </c>
      <c r="AG12" s="193"/>
      <c r="AH12" s="192">
        <f>(35.84/100)*AH9</f>
        <v>68609.587200000009</v>
      </c>
      <c r="AI12" s="193"/>
      <c r="AJ12" s="192">
        <f>(35.84/100)*AJ9</f>
        <v>63320.320000000007</v>
      </c>
      <c r="AK12" s="193"/>
      <c r="AL12" s="192">
        <f>(35.84/100)*AL9</f>
        <v>58699.46880000001</v>
      </c>
      <c r="AM12" s="193"/>
      <c r="AN12" s="146">
        <v>2</v>
      </c>
      <c r="AO12" s="147"/>
    </row>
    <row r="13" spans="1:42" x14ac:dyDescent="0.35">
      <c r="A13" s="142" t="s">
        <v>79</v>
      </c>
      <c r="B13" s="143"/>
      <c r="C13" s="143"/>
      <c r="D13" s="143"/>
      <c r="E13" s="143"/>
      <c r="F13" s="143"/>
      <c r="G13" s="143"/>
      <c r="H13" s="143"/>
      <c r="I13" s="144"/>
      <c r="J13" s="145" t="s">
        <v>74</v>
      </c>
      <c r="K13" s="192">
        <f>(12.56/100)*K9</f>
        <v>20911.144000000004</v>
      </c>
      <c r="L13" s="193"/>
      <c r="M13" s="192">
        <f>(12.56/100)*M9</f>
        <v>19814.781600000002</v>
      </c>
      <c r="N13" s="200"/>
      <c r="O13" s="193"/>
      <c r="P13" s="192">
        <f>(12.56/100)*P9</f>
        <v>22691.524000000005</v>
      </c>
      <c r="Q13" s="200"/>
      <c r="R13" s="193"/>
      <c r="S13" s="192">
        <f>(12.56/100)*S9</f>
        <v>23381.696000000004</v>
      </c>
      <c r="T13" s="193"/>
      <c r="U13" s="192">
        <f>(12.56/100)*U9</f>
        <v>25309.781600000002</v>
      </c>
      <c r="V13" s="200"/>
      <c r="W13" s="193"/>
      <c r="X13" s="192">
        <f>(12.56/100)*X9</f>
        <v>25298.100800000004</v>
      </c>
      <c r="Y13" s="200"/>
      <c r="Z13" s="200"/>
      <c r="AA13" s="193"/>
      <c r="AB13" s="192">
        <f>(12.56/100)*AB9</f>
        <v>23405.685600000004</v>
      </c>
      <c r="AC13" s="193"/>
      <c r="AD13" s="192">
        <f>(12.56/100)*AD9</f>
        <v>23522.493600000002</v>
      </c>
      <c r="AE13" s="193"/>
      <c r="AF13" s="192">
        <f>(12.56/100)*AF9</f>
        <v>22817.626400000005</v>
      </c>
      <c r="AG13" s="193"/>
      <c r="AH13" s="192">
        <f>(12.56/100)*AH9</f>
        <v>24043.984800000002</v>
      </c>
      <c r="AI13" s="193"/>
      <c r="AJ13" s="192">
        <f>(12.56/100)*AJ9</f>
        <v>22190.380000000005</v>
      </c>
      <c r="AK13" s="193"/>
      <c r="AL13" s="192">
        <f>(12.56/100)*AL9</f>
        <v>20571.019200000002</v>
      </c>
      <c r="AM13" s="193"/>
      <c r="AN13" s="146">
        <v>2</v>
      </c>
      <c r="AO13" s="147">
        <f>SUM(K10:AM13)</f>
        <v>2181196</v>
      </c>
    </row>
    <row r="14" spans="1:42" x14ac:dyDescent="0.35">
      <c r="A14" s="197" t="s">
        <v>80</v>
      </c>
      <c r="B14" s="198"/>
      <c r="C14" s="198"/>
      <c r="D14" s="198"/>
      <c r="E14" s="198"/>
      <c r="F14" s="198"/>
      <c r="G14" s="198"/>
      <c r="H14" s="198"/>
      <c r="I14" s="199"/>
      <c r="J14" s="145" t="s">
        <v>81</v>
      </c>
      <c r="K14" s="196">
        <v>817</v>
      </c>
      <c r="L14" s="195"/>
      <c r="M14" s="196">
        <v>694</v>
      </c>
      <c r="N14" s="194"/>
      <c r="O14" s="195"/>
      <c r="P14" s="196">
        <v>737</v>
      </c>
      <c r="Q14" s="194"/>
      <c r="R14" s="195"/>
      <c r="S14" s="196">
        <v>830</v>
      </c>
      <c r="T14" s="195"/>
      <c r="U14" s="196">
        <v>829</v>
      </c>
      <c r="V14" s="194"/>
      <c r="W14" s="195"/>
      <c r="X14" s="149"/>
      <c r="Y14" s="194">
        <v>877</v>
      </c>
      <c r="Z14" s="194"/>
      <c r="AA14" s="195"/>
      <c r="AB14" s="196">
        <v>825</v>
      </c>
      <c r="AC14" s="195"/>
      <c r="AD14" s="196">
        <v>849</v>
      </c>
      <c r="AE14" s="195"/>
      <c r="AF14" s="192">
        <v>1086</v>
      </c>
      <c r="AG14" s="193"/>
      <c r="AH14" s="192">
        <v>1184</v>
      </c>
      <c r="AI14" s="193"/>
      <c r="AJ14" s="192">
        <v>1271</v>
      </c>
      <c r="AK14" s="193"/>
      <c r="AL14" s="192">
        <v>1190</v>
      </c>
      <c r="AM14" s="193"/>
      <c r="AN14" s="146">
        <v>3</v>
      </c>
      <c r="AO14" s="147">
        <f>SUM(K14:AM14)</f>
        <v>11189</v>
      </c>
    </row>
  </sheetData>
  <mergeCells count="95">
    <mergeCell ref="AO4:AO5"/>
    <mergeCell ref="K5:L5"/>
    <mergeCell ref="M5:O5"/>
    <mergeCell ref="P5:R5"/>
    <mergeCell ref="S5:T5"/>
    <mergeCell ref="AH5:AI5"/>
    <mergeCell ref="A2:AN2"/>
    <mergeCell ref="A4:I5"/>
    <mergeCell ref="J4:J5"/>
    <mergeCell ref="K4:AM4"/>
    <mergeCell ref="AN4:AN5"/>
    <mergeCell ref="AL9:AM9"/>
    <mergeCell ref="AJ5:AK5"/>
    <mergeCell ref="AL5:AM5"/>
    <mergeCell ref="A7:AN7"/>
    <mergeCell ref="A9:I9"/>
    <mergeCell ref="K9:L9"/>
    <mergeCell ref="M9:O9"/>
    <mergeCell ref="P9:R9"/>
    <mergeCell ref="S9:T9"/>
    <mergeCell ref="U9:W9"/>
    <mergeCell ref="X9:AA9"/>
    <mergeCell ref="U5:W5"/>
    <mergeCell ref="X5:AA5"/>
    <mergeCell ref="AB5:AC5"/>
    <mergeCell ref="AD5:AE5"/>
    <mergeCell ref="AF5:AG5"/>
    <mergeCell ref="AB9:AC9"/>
    <mergeCell ref="AD9:AE9"/>
    <mergeCell ref="AF9:AG9"/>
    <mergeCell ref="AH9:AI9"/>
    <mergeCell ref="AJ9:AK9"/>
    <mergeCell ref="AJ10:AK10"/>
    <mergeCell ref="C10:I10"/>
    <mergeCell ref="K10:L10"/>
    <mergeCell ref="M10:O10"/>
    <mergeCell ref="P10:R10"/>
    <mergeCell ref="S10:T10"/>
    <mergeCell ref="U10:W10"/>
    <mergeCell ref="X12:AA12"/>
    <mergeCell ref="AL10:AM10"/>
    <mergeCell ref="C11:I11"/>
    <mergeCell ref="K11:L11"/>
    <mergeCell ref="M11:O11"/>
    <mergeCell ref="P11:R11"/>
    <mergeCell ref="S11:T11"/>
    <mergeCell ref="U11:W11"/>
    <mergeCell ref="X11:AA11"/>
    <mergeCell ref="AB11:AC11"/>
    <mergeCell ref="AD11:AE11"/>
    <mergeCell ref="X10:AA10"/>
    <mergeCell ref="AB10:AC10"/>
    <mergeCell ref="AD10:AE10"/>
    <mergeCell ref="AF10:AG10"/>
    <mergeCell ref="AH10:AI10"/>
    <mergeCell ref="K12:L12"/>
    <mergeCell ref="M12:O12"/>
    <mergeCell ref="P12:R12"/>
    <mergeCell ref="S12:T12"/>
    <mergeCell ref="U12:W12"/>
    <mergeCell ref="AL12:AM12"/>
    <mergeCell ref="AF11:AG11"/>
    <mergeCell ref="AH11:AI11"/>
    <mergeCell ref="AJ11:AK11"/>
    <mergeCell ref="AL11:AM11"/>
    <mergeCell ref="AB12:AC12"/>
    <mergeCell ref="AD12:AE12"/>
    <mergeCell ref="AF12:AG12"/>
    <mergeCell ref="AH12:AI12"/>
    <mergeCell ref="AJ12:AK12"/>
    <mergeCell ref="AJ13:AK13"/>
    <mergeCell ref="AL13:AM13"/>
    <mergeCell ref="K13:L13"/>
    <mergeCell ref="M13:O13"/>
    <mergeCell ref="P13:R13"/>
    <mergeCell ref="S13:T13"/>
    <mergeCell ref="U13:W13"/>
    <mergeCell ref="X13:AA13"/>
    <mergeCell ref="U14:W14"/>
    <mergeCell ref="AB13:AC13"/>
    <mergeCell ref="AD13:AE13"/>
    <mergeCell ref="AF13:AG13"/>
    <mergeCell ref="AH13:AI13"/>
    <mergeCell ref="A14:I14"/>
    <mergeCell ref="K14:L14"/>
    <mergeCell ref="M14:O14"/>
    <mergeCell ref="P14:R14"/>
    <mergeCell ref="S14:T14"/>
    <mergeCell ref="AL14:AM14"/>
    <mergeCell ref="Y14:AA14"/>
    <mergeCell ref="AB14:AC14"/>
    <mergeCell ref="AD14:AE14"/>
    <mergeCell ref="AF14:AG14"/>
    <mergeCell ref="AH14:AI14"/>
    <mergeCell ref="AJ14:AK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Reductions</vt:lpstr>
      <vt:lpstr>Baseline</vt:lpstr>
      <vt:lpstr>Project</vt:lpstr>
      <vt:lpstr>Annual Aluminium Production</vt:lpstr>
      <vt:lpstr>Annual Fuel Consumption</vt:lpstr>
      <vt:lpstr>Electricity Consumption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Pankaj  Kumar</cp:lastModifiedBy>
  <dcterms:created xsi:type="dcterms:W3CDTF">2023-08-23T02:01:58Z</dcterms:created>
  <dcterms:modified xsi:type="dcterms:W3CDTF">2024-02-28T06:59:51Z</dcterms:modified>
</cp:coreProperties>
</file>