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laemerson/Desktop/Ecuador2022/Injections/2022-07-01/"/>
    </mc:Choice>
  </mc:AlternateContent>
  <xr:revisionPtr revIDLastSave="0" documentId="13_ncr:1_{FD7BE4F6-9964-5A45-B5F1-A80045C4BB7E}" xr6:coauthVersionLast="47" xr6:coauthVersionMax="47" xr10:uidLastSave="{00000000-0000-0000-0000-000000000000}"/>
  <bookViews>
    <workbookView xWindow="780" yWindow="1080" windowWidth="27640" windowHeight="15680" xr2:uid="{7D3E97DD-05DD-234A-96CA-0C250A94D12C}"/>
  </bookViews>
  <sheets>
    <sheet name="Info" sheetId="2" r:id="rId1"/>
    <sheet name="Conductivity" sheetId="1" r:id="rId2"/>
    <sheet name="width, depth, velocity" sheetId="3" r:id="rId3"/>
    <sheet name="downstream conductivity" sheetId="4" r:id="rId4"/>
    <sheet name="discharge" sheetId="5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2" l="1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L156" i="4"/>
  <c r="L151" i="4"/>
  <c r="L152" i="4" s="1"/>
  <c r="L153" i="4" s="1"/>
  <c r="L154" i="4" s="1"/>
  <c r="L155" i="4" s="1"/>
  <c r="L132" i="4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69" i="4"/>
  <c r="L70" i="4" s="1"/>
  <c r="L21" i="4"/>
  <c r="L22" i="4" s="1"/>
  <c r="L20" i="4"/>
  <c r="M20" i="4" s="1"/>
  <c r="M8" i="4"/>
  <c r="M9" i="4"/>
  <c r="M10" i="4"/>
  <c r="M11" i="4"/>
  <c r="M12" i="4"/>
  <c r="M13" i="4"/>
  <c r="M14" i="4"/>
  <c r="M15" i="4"/>
  <c r="M16" i="4"/>
  <c r="M17" i="4"/>
  <c r="M18" i="4"/>
  <c r="M19" i="4"/>
  <c r="M69" i="4"/>
  <c r="M7" i="4"/>
  <c r="L17" i="4"/>
  <c r="L18" i="4" s="1"/>
  <c r="L16" i="4"/>
  <c r="L11" i="4"/>
  <c r="L12" i="4" s="1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A143" i="4"/>
  <c r="A142" i="4"/>
  <c r="A139" i="4"/>
  <c r="A141" i="4" s="1"/>
  <c r="A135" i="4"/>
  <c r="A136" i="4" s="1"/>
  <c r="A137" i="4" s="1"/>
  <c r="A138" i="4" s="1"/>
  <c r="A125" i="4"/>
  <c r="A126" i="4" s="1"/>
  <c r="A127" i="4" s="1"/>
  <c r="A128" i="4" s="1"/>
  <c r="A129" i="4" s="1"/>
  <c r="A130" i="4" s="1"/>
  <c r="A131" i="4" s="1"/>
  <c r="A132" i="4" s="1"/>
  <c r="A133" i="4" s="1"/>
  <c r="A134" i="4" s="1"/>
  <c r="A124" i="4"/>
  <c r="A123" i="4"/>
  <c r="B113" i="4"/>
  <c r="B114" i="4"/>
  <c r="B115" i="4"/>
  <c r="B116" i="4"/>
  <c r="B117" i="4"/>
  <c r="B118" i="4"/>
  <c r="B119" i="4"/>
  <c r="B120" i="4"/>
  <c r="B121" i="4"/>
  <c r="A122" i="4"/>
  <c r="A121" i="4"/>
  <c r="A120" i="4"/>
  <c r="A119" i="4"/>
  <c r="A118" i="4"/>
  <c r="A117" i="4"/>
  <c r="A116" i="4"/>
  <c r="A115" i="4"/>
  <c r="A114" i="4"/>
  <c r="A113" i="4"/>
  <c r="B111" i="4"/>
  <c r="B112" i="4"/>
  <c r="A112" i="4"/>
  <c r="A111" i="4"/>
  <c r="A110" i="4"/>
  <c r="B110" i="4" s="1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B48" i="4" s="1"/>
  <c r="A47" i="4"/>
  <c r="A46" i="4"/>
  <c r="A45" i="4"/>
  <c r="A43" i="4"/>
  <c r="A42" i="4"/>
  <c r="A41" i="4"/>
  <c r="A40" i="4"/>
  <c r="A39" i="4"/>
  <c r="A38" i="4"/>
  <c r="B38" i="4" s="1"/>
  <c r="A37" i="4"/>
  <c r="B37" i="4" s="1"/>
  <c r="A36" i="4"/>
  <c r="A35" i="4"/>
  <c r="A34" i="4"/>
  <c r="A33" i="4"/>
  <c r="A32" i="4"/>
  <c r="A31" i="4"/>
  <c r="A30" i="4"/>
  <c r="B30" i="4" s="1"/>
  <c r="A29" i="4"/>
  <c r="A28" i="4"/>
  <c r="A27" i="4"/>
  <c r="A26" i="4"/>
  <c r="A25" i="4"/>
  <c r="A24" i="4"/>
  <c r="A23" i="4"/>
  <c r="A22" i="4"/>
  <c r="A21" i="4"/>
  <c r="A19" i="4"/>
  <c r="A18" i="4"/>
  <c r="B18" i="4" s="1"/>
  <c r="A16" i="4"/>
  <c r="B16" i="4" s="1"/>
  <c r="A17" i="4"/>
  <c r="A12" i="4"/>
  <c r="A13" i="4" s="1"/>
  <c r="A11" i="4"/>
  <c r="I73" i="5"/>
  <c r="J73" i="5" s="1"/>
  <c r="I72" i="5"/>
  <c r="J72" i="5" s="1"/>
  <c r="I71" i="5"/>
  <c r="J71" i="5" s="1"/>
  <c r="I70" i="5"/>
  <c r="J70" i="5" s="1"/>
  <c r="I69" i="5"/>
  <c r="J69" i="5" s="1"/>
  <c r="I68" i="5"/>
  <c r="J68" i="5" s="1"/>
  <c r="I67" i="5"/>
  <c r="J67" i="5" s="1"/>
  <c r="I66" i="5"/>
  <c r="J66" i="5" s="1"/>
  <c r="I65" i="5"/>
  <c r="I64" i="5"/>
  <c r="I63" i="5"/>
  <c r="I62" i="5"/>
  <c r="J62" i="5" s="1"/>
  <c r="I61" i="5"/>
  <c r="I60" i="5"/>
  <c r="I59" i="5"/>
  <c r="I58" i="5"/>
  <c r="I57" i="5"/>
  <c r="I56" i="5"/>
  <c r="I23" i="5"/>
  <c r="J23" i="5" s="1"/>
  <c r="I22" i="5"/>
  <c r="J22" i="5" s="1"/>
  <c r="I21" i="5"/>
  <c r="J21" i="5" s="1"/>
  <c r="I20" i="5"/>
  <c r="J20" i="5" s="1"/>
  <c r="I19" i="5"/>
  <c r="J19" i="5" s="1"/>
  <c r="I18" i="5"/>
  <c r="J18" i="5" s="1"/>
  <c r="I17" i="5"/>
  <c r="J17" i="5" s="1"/>
  <c r="I16" i="5"/>
  <c r="J16" i="5" s="1"/>
  <c r="I15" i="5"/>
  <c r="I14" i="5"/>
  <c r="I13" i="5"/>
  <c r="I12" i="5"/>
  <c r="I11" i="5"/>
  <c r="I10" i="5"/>
  <c r="I9" i="5"/>
  <c r="I8" i="5"/>
  <c r="I7" i="5"/>
  <c r="I6" i="5"/>
  <c r="B49" i="4"/>
  <c r="B47" i="4"/>
  <c r="B46" i="4"/>
  <c r="B45" i="4"/>
  <c r="B44" i="4"/>
  <c r="B43" i="4"/>
  <c r="B42" i="4"/>
  <c r="B41" i="4"/>
  <c r="B40" i="4"/>
  <c r="B39" i="4"/>
  <c r="B36" i="4"/>
  <c r="B35" i="4"/>
  <c r="B34" i="4"/>
  <c r="B33" i="4"/>
  <c r="B32" i="4"/>
  <c r="B31" i="4"/>
  <c r="B29" i="4"/>
  <c r="B28" i="4"/>
  <c r="B27" i="4"/>
  <c r="B26" i="4"/>
  <c r="B25" i="4"/>
  <c r="B24" i="4"/>
  <c r="B23" i="4"/>
  <c r="B22" i="4"/>
  <c r="B21" i="4"/>
  <c r="B20" i="4"/>
  <c r="B19" i="4"/>
  <c r="B17" i="4"/>
  <c r="B12" i="4"/>
  <c r="B11" i="4"/>
  <c r="B10" i="4"/>
  <c r="B9" i="4"/>
  <c r="B8" i="4"/>
  <c r="B7" i="4"/>
  <c r="B12" i="2"/>
  <c r="M70" i="4" l="1"/>
  <c r="L71" i="4"/>
  <c r="L23" i="4"/>
  <c r="M22" i="4"/>
  <c r="M21" i="4"/>
  <c r="L13" i="4"/>
  <c r="A14" i="4"/>
  <c r="B13" i="4"/>
  <c r="J65" i="5"/>
  <c r="J61" i="5"/>
  <c r="J58" i="5"/>
  <c r="J57" i="5"/>
  <c r="J59" i="5"/>
  <c r="J63" i="5"/>
  <c r="J60" i="5"/>
  <c r="J64" i="5"/>
  <c r="J15" i="5"/>
  <c r="J14" i="5"/>
  <c r="J13" i="5"/>
  <c r="J12" i="5"/>
  <c r="J11" i="5"/>
  <c r="J9" i="5"/>
  <c r="J8" i="5"/>
  <c r="J10" i="5"/>
  <c r="J7" i="5"/>
  <c r="B51" i="4"/>
  <c r="B50" i="4"/>
  <c r="M71" i="4" l="1"/>
  <c r="L72" i="4"/>
  <c r="L24" i="4"/>
  <c r="M23" i="4"/>
  <c r="L14" i="4"/>
  <c r="B14" i="4"/>
  <c r="A15" i="4"/>
  <c r="B15" i="4" s="1"/>
  <c r="K56" i="5"/>
  <c r="K6" i="5"/>
  <c r="B52" i="4"/>
  <c r="L73" i="4" l="1"/>
  <c r="M72" i="4"/>
  <c r="L25" i="4"/>
  <c r="M24" i="4"/>
  <c r="B53" i="4"/>
  <c r="L74" i="4" l="1"/>
  <c r="M73" i="4"/>
  <c r="L26" i="4"/>
  <c r="M25" i="4"/>
  <c r="B54" i="4"/>
  <c r="M74" i="4" l="1"/>
  <c r="L75" i="4"/>
  <c r="L27" i="4"/>
  <c r="M26" i="4"/>
  <c r="B55" i="4"/>
  <c r="M75" i="4" l="1"/>
  <c r="L76" i="4"/>
  <c r="L28" i="4"/>
  <c r="M27" i="4"/>
  <c r="B56" i="4"/>
  <c r="L77" i="4" l="1"/>
  <c r="M76" i="4"/>
  <c r="L29" i="4"/>
  <c r="M28" i="4"/>
  <c r="B57" i="4"/>
  <c r="L78" i="4" l="1"/>
  <c r="M77" i="4"/>
  <c r="L30" i="4"/>
  <c r="M29" i="4"/>
  <c r="B58" i="4"/>
  <c r="M78" i="4" l="1"/>
  <c r="L79" i="4"/>
  <c r="L31" i="4"/>
  <c r="M30" i="4"/>
  <c r="B59" i="4"/>
  <c r="M79" i="4" l="1"/>
  <c r="L80" i="4"/>
  <c r="L32" i="4"/>
  <c r="M31" i="4"/>
  <c r="B60" i="4"/>
  <c r="L81" i="4" l="1"/>
  <c r="M80" i="4"/>
  <c r="L33" i="4"/>
  <c r="M32" i="4"/>
  <c r="B61" i="4"/>
  <c r="L82" i="4" l="1"/>
  <c r="M81" i="4"/>
  <c r="L34" i="4"/>
  <c r="M33" i="4"/>
  <c r="B62" i="4"/>
  <c r="M82" i="4" l="1"/>
  <c r="L83" i="4"/>
  <c r="L35" i="4"/>
  <c r="M34" i="4"/>
  <c r="B63" i="4"/>
  <c r="M83" i="4" l="1"/>
  <c r="L84" i="4"/>
  <c r="L36" i="4"/>
  <c r="M35" i="4"/>
  <c r="B64" i="4"/>
  <c r="L85" i="4" l="1"/>
  <c r="M84" i="4"/>
  <c r="L37" i="4"/>
  <c r="M36" i="4"/>
  <c r="B65" i="4"/>
  <c r="L86" i="4" l="1"/>
  <c r="M85" i="4"/>
  <c r="L38" i="4"/>
  <c r="M37" i="4"/>
  <c r="B66" i="4"/>
  <c r="M86" i="4" l="1"/>
  <c r="L87" i="4"/>
  <c r="L39" i="4"/>
  <c r="M38" i="4"/>
  <c r="B67" i="4"/>
  <c r="M87" i="4" l="1"/>
  <c r="L88" i="4"/>
  <c r="L40" i="4"/>
  <c r="M39" i="4"/>
  <c r="B68" i="4"/>
  <c r="L89" i="4" l="1"/>
  <c r="M88" i="4"/>
  <c r="L41" i="4"/>
  <c r="M40" i="4"/>
  <c r="B69" i="4"/>
  <c r="L90" i="4" l="1"/>
  <c r="M89" i="4"/>
  <c r="L42" i="4"/>
  <c r="M41" i="4"/>
  <c r="B70" i="4"/>
  <c r="M90" i="4" l="1"/>
  <c r="L91" i="4"/>
  <c r="L43" i="4"/>
  <c r="M42" i="4"/>
  <c r="B71" i="4"/>
  <c r="M91" i="4" l="1"/>
  <c r="L92" i="4"/>
  <c r="L44" i="4"/>
  <c r="M43" i="4"/>
  <c r="B72" i="4"/>
  <c r="L93" i="4" l="1"/>
  <c r="M92" i="4"/>
  <c r="L45" i="4"/>
  <c r="M44" i="4"/>
  <c r="B73" i="4"/>
  <c r="L94" i="4" l="1"/>
  <c r="M93" i="4"/>
  <c r="L46" i="4"/>
  <c r="M45" i="4"/>
  <c r="B74" i="4"/>
  <c r="M94" i="4" l="1"/>
  <c r="L95" i="4"/>
  <c r="L47" i="4"/>
  <c r="M46" i="4"/>
  <c r="B75" i="4"/>
  <c r="M95" i="4" l="1"/>
  <c r="L96" i="4"/>
  <c r="L48" i="4"/>
  <c r="M47" i="4"/>
  <c r="B76" i="4"/>
  <c r="L97" i="4" l="1"/>
  <c r="M96" i="4"/>
  <c r="L49" i="4"/>
  <c r="M48" i="4"/>
  <c r="B77" i="4"/>
  <c r="L98" i="4" l="1"/>
  <c r="M97" i="4"/>
  <c r="L50" i="4"/>
  <c r="M49" i="4"/>
  <c r="B78" i="4"/>
  <c r="M98" i="4" l="1"/>
  <c r="L99" i="4"/>
  <c r="L51" i="4"/>
  <c r="M50" i="4"/>
  <c r="B79" i="4"/>
  <c r="M99" i="4" l="1"/>
  <c r="L100" i="4"/>
  <c r="L52" i="4"/>
  <c r="M51" i="4"/>
  <c r="B80" i="4"/>
  <c r="L101" i="4" l="1"/>
  <c r="M100" i="4"/>
  <c r="L53" i="4"/>
  <c r="M52" i="4"/>
  <c r="B81" i="4"/>
  <c r="L102" i="4" l="1"/>
  <c r="M101" i="4"/>
  <c r="L54" i="4"/>
  <c r="M53" i="4"/>
  <c r="B82" i="4"/>
  <c r="M102" i="4" l="1"/>
  <c r="L103" i="4"/>
  <c r="L55" i="4"/>
  <c r="M54" i="4"/>
  <c r="B83" i="4"/>
  <c r="M103" i="4" l="1"/>
  <c r="L104" i="4"/>
  <c r="L56" i="4"/>
  <c r="M55" i="4"/>
  <c r="B84" i="4"/>
  <c r="L105" i="4" l="1"/>
  <c r="M104" i="4"/>
  <c r="L57" i="4"/>
  <c r="M56" i="4"/>
  <c r="B85" i="4"/>
  <c r="L106" i="4" l="1"/>
  <c r="M105" i="4"/>
  <c r="L58" i="4"/>
  <c r="M57" i="4"/>
  <c r="B86" i="4"/>
  <c r="M106" i="4" l="1"/>
  <c r="L107" i="4"/>
  <c r="L59" i="4"/>
  <c r="M58" i="4"/>
  <c r="B87" i="4"/>
  <c r="M107" i="4" l="1"/>
  <c r="L108" i="4"/>
  <c r="L60" i="4"/>
  <c r="M59" i="4"/>
  <c r="B88" i="4"/>
  <c r="L109" i="4" l="1"/>
  <c r="M108" i="4"/>
  <c r="L61" i="4"/>
  <c r="M60" i="4"/>
  <c r="B89" i="4"/>
  <c r="L110" i="4" l="1"/>
  <c r="M109" i="4"/>
  <c r="L62" i="4"/>
  <c r="M61" i="4"/>
  <c r="B90" i="4"/>
  <c r="M110" i="4" l="1"/>
  <c r="L111" i="4"/>
  <c r="L63" i="4"/>
  <c r="M62" i="4"/>
  <c r="B91" i="4"/>
  <c r="M111" i="4" l="1"/>
  <c r="L112" i="4"/>
  <c r="L64" i="4"/>
  <c r="M63" i="4"/>
  <c r="B92" i="4"/>
  <c r="M112" i="4" l="1"/>
  <c r="L113" i="4"/>
  <c r="L65" i="4"/>
  <c r="M64" i="4"/>
  <c r="B93" i="4"/>
  <c r="L114" i="4" l="1"/>
  <c r="M113" i="4"/>
  <c r="L66" i="4"/>
  <c r="M65" i="4"/>
  <c r="B94" i="4"/>
  <c r="M114" i="4" l="1"/>
  <c r="L115" i="4"/>
  <c r="L67" i="4"/>
  <c r="M66" i="4"/>
  <c r="B95" i="4"/>
  <c r="M115" i="4" l="1"/>
  <c r="L116" i="4"/>
  <c r="L68" i="4"/>
  <c r="M68" i="4" s="1"/>
  <c r="M67" i="4"/>
  <c r="B96" i="4"/>
  <c r="L117" i="4" l="1"/>
  <c r="M116" i="4"/>
  <c r="B97" i="4"/>
  <c r="L118" i="4" l="1"/>
  <c r="M117" i="4"/>
  <c r="B98" i="4"/>
  <c r="M118" i="4" l="1"/>
  <c r="L119" i="4"/>
  <c r="B99" i="4"/>
  <c r="M119" i="4" l="1"/>
  <c r="L120" i="4"/>
  <c r="B100" i="4"/>
  <c r="L121" i="4" l="1"/>
  <c r="M120" i="4"/>
  <c r="B101" i="4"/>
  <c r="L122" i="4" l="1"/>
  <c r="M121" i="4"/>
  <c r="B102" i="4"/>
  <c r="M122" i="4" l="1"/>
  <c r="L123" i="4"/>
  <c r="B103" i="4"/>
  <c r="M123" i="4" l="1"/>
  <c r="L124" i="4"/>
  <c r="B104" i="4"/>
  <c r="L125" i="4" l="1"/>
  <c r="M124" i="4"/>
  <c r="B105" i="4"/>
  <c r="L126" i="4" l="1"/>
  <c r="M125" i="4"/>
  <c r="B106" i="4"/>
  <c r="M126" i="4" l="1"/>
  <c r="L127" i="4"/>
  <c r="B107" i="4"/>
  <c r="M127" i="4" l="1"/>
  <c r="L128" i="4"/>
  <c r="B109" i="4"/>
  <c r="B108" i="4"/>
  <c r="L129" i="4" l="1"/>
  <c r="M128" i="4"/>
  <c r="L130" i="4" l="1"/>
  <c r="M129" i="4"/>
  <c r="M130" i="4" l="1"/>
  <c r="L131" i="4"/>
  <c r="M131" i="4" l="1"/>
</calcChain>
</file>

<file path=xl/sharedStrings.xml><?xml version="1.0" encoding="utf-8"?>
<sst xmlns="http://schemas.openxmlformats.org/spreadsheetml/2006/main" count="125" uniqueCount="81">
  <si>
    <t>Conductivity</t>
  </si>
  <si>
    <t>Injection solution concentration</t>
  </si>
  <si>
    <t>g/l</t>
  </si>
  <si>
    <t>Injection solution conductivity</t>
  </si>
  <si>
    <t>us/cm</t>
  </si>
  <si>
    <t>Injection solution temperature</t>
  </si>
  <si>
    <t>c</t>
  </si>
  <si>
    <t>Injection solution specific conductivity</t>
  </si>
  <si>
    <t>Before Injection</t>
  </si>
  <si>
    <t>After Injection</t>
  </si>
  <si>
    <t>Discharge</t>
  </si>
  <si>
    <t>x</t>
  </si>
  <si>
    <t>Spc Conductivity (us/cm)</t>
  </si>
  <si>
    <t xml:space="preserve">Temp </t>
  </si>
  <si>
    <t>Injection Date</t>
  </si>
  <si>
    <t>Coordinates/Waypoint</t>
  </si>
  <si>
    <t>Start time (CO2)</t>
  </si>
  <si>
    <t>End time (CO2)</t>
  </si>
  <si>
    <t>Injection solution:</t>
  </si>
  <si>
    <t>Unit</t>
  </si>
  <si>
    <t>Stream water volume</t>
  </si>
  <si>
    <t>l</t>
  </si>
  <si>
    <t>Salt concentrate</t>
  </si>
  <si>
    <t>Salt volume</t>
  </si>
  <si>
    <t>Instrument Locations</t>
  </si>
  <si>
    <t>Flux (EOSfd)</t>
  </si>
  <si>
    <t>CO2 (Vaisala)</t>
  </si>
  <si>
    <t>EC (Hobo)</t>
  </si>
  <si>
    <t>Temp (HOBO)</t>
  </si>
  <si>
    <t>Baro (Hobo)</t>
  </si>
  <si>
    <t xml:space="preserve"> -10 meter</t>
  </si>
  <si>
    <t>0 meter</t>
  </si>
  <si>
    <t>50 meter</t>
  </si>
  <si>
    <t>width depth velocity</t>
  </si>
  <si>
    <t>width</t>
  </si>
  <si>
    <t>depth 1</t>
  </si>
  <si>
    <t>depth 2</t>
  </si>
  <si>
    <t>depth 3</t>
  </si>
  <si>
    <t>depth 4</t>
  </si>
  <si>
    <t>depth 5</t>
  </si>
  <si>
    <t>depth 6</t>
  </si>
  <si>
    <t>depth 7</t>
  </si>
  <si>
    <t>veolcity</t>
  </si>
  <si>
    <t>EC (platue</t>
  </si>
  <si>
    <t>Downstream conductivity</t>
  </si>
  <si>
    <t>** start measuring EC at:</t>
  </si>
  <si>
    <t>**plateu start</t>
  </si>
  <si>
    <t>time since start (m)</t>
  </si>
  <si>
    <t>time since start (HH:MM)</t>
  </si>
  <si>
    <t>spc Conductivity (us/cm)</t>
  </si>
  <si>
    <t>location</t>
  </si>
  <si>
    <t>0m</t>
  </si>
  <si>
    <t>time</t>
  </si>
  <si>
    <t>depth</t>
  </si>
  <si>
    <t>velocity</t>
  </si>
  <si>
    <t>segment</t>
  </si>
  <si>
    <t>Q</t>
  </si>
  <si>
    <t>Qtotal</t>
  </si>
  <si>
    <t>50m</t>
  </si>
  <si>
    <t>SALT SLUG #1</t>
  </si>
  <si>
    <t>SALT SLUG #2</t>
  </si>
  <si>
    <t>12:11 to 12:14 ?</t>
  </si>
  <si>
    <t>(m)</t>
  </si>
  <si>
    <t>(cm)</t>
  </si>
  <si>
    <t>Colmillo Stations 5 and 6</t>
  </si>
  <si>
    <t>Salt Slug #1 Start</t>
  </si>
  <si>
    <t>Salt Slug #2 Start</t>
  </si>
  <si>
    <t>25 meter</t>
  </si>
  <si>
    <t>Water Sampling</t>
  </si>
  <si>
    <t>Methane Sampling</t>
  </si>
  <si>
    <t>x (K600)</t>
  </si>
  <si>
    <t>x (Box 1)</t>
  </si>
  <si>
    <t>x (Box 3)</t>
  </si>
  <si>
    <t>x (Station 3)</t>
  </si>
  <si>
    <t>25m</t>
  </si>
  <si>
    <t>pre injection</t>
  </si>
  <si>
    <t>post injection</t>
  </si>
  <si>
    <t xml:space="preserve">bottle number </t>
  </si>
  <si>
    <t>50 m</t>
  </si>
  <si>
    <t>0 m</t>
  </si>
  <si>
    <t>DO (Hobo)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</si>
</sst>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6">
    <xf numFmtId="0" fontId="0" fillId="0" borderId="0" xfId="0"/>
    <xf numFmtId="0" fontId="4" fillId="4" borderId="0" xfId="0" applyFont="1" applyFill="1" applyAlignment="1">
      <alignment horizontal="center" vertical="center"/>
    </xf>
    <xf numFmtId="0" fontId="2" fillId="3" borderId="1" xfId="2"/>
    <xf numFmtId="0" fontId="5" fillId="0" borderId="0" xfId="0" applyFont="1"/>
    <xf numFmtId="0" fontId="0" fillId="0" borderId="2" xfId="0" applyBorder="1"/>
    <xf numFmtId="0" fontId="5" fillId="0" borderId="3" xfId="0" applyFont="1" applyBorder="1"/>
    <xf numFmtId="0" fontId="0" fillId="0" borderId="3" xfId="0" applyBorder="1"/>
    <xf numFmtId="14" fontId="0" fillId="0" borderId="0" xfId="0" applyNumberFormat="1"/>
    <xf numFmtId="20" fontId="0" fillId="0" borderId="0" xfId="0" applyNumberFormat="1"/>
    <xf numFmtId="0" fontId="1" fillId="2" borderId="1" xfId="1"/>
    <xf numFmtId="0" fontId="6" fillId="4" borderId="0" xfId="0" applyFont="1" applyFill="1"/>
    <xf numFmtId="0" fontId="0" fillId="4" borderId="0" xfId="0" applyFill="1"/>
    <xf numFmtId="0" fontId="3" fillId="4" borderId="0" xfId="0" applyFont="1" applyFill="1" applyAlignment="1">
      <alignment vertical="center"/>
    </xf>
    <xf numFmtId="20" fontId="1" fillId="2" borderId="1" xfId="1" applyNumberFormat="1"/>
    <xf numFmtId="22" fontId="0" fillId="0" borderId="0" xfId="0" applyNumberFormat="1"/>
    <xf numFmtId="0" fontId="3" fillId="0" borderId="0" xfId="0" applyFon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Downstream</a:t>
            </a:r>
            <a:r>
              <a:rPr lang="en-US" baseline="0"/>
              <a:t> Conductivity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'downstream conductivity'!$B$7:$B$144</c:f>
              <c:numCache>
                <c:formatCode>h:mm</c:formatCode>
                <c:ptCount val="138"/>
                <c:pt idx="0">
                  <c:v>0.50312500000000004</c:v>
                </c:pt>
                <c:pt idx="1">
                  <c:v>0.50347222222222221</c:v>
                </c:pt>
                <c:pt idx="2">
                  <c:v>0.50381944444444449</c:v>
                </c:pt>
                <c:pt idx="3">
                  <c:v>0.50416666666666665</c:v>
                </c:pt>
                <c:pt idx="4">
                  <c:v>0.50451388888888893</c:v>
                </c:pt>
                <c:pt idx="5">
                  <c:v>0.50486111111111109</c:v>
                </c:pt>
                <c:pt idx="6">
                  <c:v>0.50520833333333337</c:v>
                </c:pt>
                <c:pt idx="7">
                  <c:v>0.50555555555555554</c:v>
                </c:pt>
                <c:pt idx="8">
                  <c:v>0.50590277777777781</c:v>
                </c:pt>
                <c:pt idx="9">
                  <c:v>0.50624999999999998</c:v>
                </c:pt>
                <c:pt idx="10">
                  <c:v>0.50659722222222225</c:v>
                </c:pt>
                <c:pt idx="11">
                  <c:v>0.50671296296296298</c:v>
                </c:pt>
                <c:pt idx="12">
                  <c:v>0.5068287037037037</c:v>
                </c:pt>
                <c:pt idx="13">
                  <c:v>0.50694444444444442</c:v>
                </c:pt>
                <c:pt idx="14">
                  <c:v>0.50706018518518514</c:v>
                </c:pt>
                <c:pt idx="15">
                  <c:v>0.50717592592592586</c:v>
                </c:pt>
                <c:pt idx="16">
                  <c:v>0.5072916666666667</c:v>
                </c:pt>
                <c:pt idx="17">
                  <c:v>0.50740740740740742</c:v>
                </c:pt>
                <c:pt idx="18">
                  <c:v>0.50752314814814814</c:v>
                </c:pt>
                <c:pt idx="19">
                  <c:v>0.50763888888888886</c:v>
                </c:pt>
                <c:pt idx="20">
                  <c:v>0.50775462962962958</c:v>
                </c:pt>
                <c:pt idx="21">
                  <c:v>0.50787037037037031</c:v>
                </c:pt>
                <c:pt idx="22">
                  <c:v>0.50798611111111114</c:v>
                </c:pt>
                <c:pt idx="23">
                  <c:v>0.50810185185185186</c:v>
                </c:pt>
                <c:pt idx="24">
                  <c:v>0.50821759259259258</c:v>
                </c:pt>
                <c:pt idx="25">
                  <c:v>0.5083333333333333</c:v>
                </c:pt>
                <c:pt idx="26">
                  <c:v>0.50844907407407403</c:v>
                </c:pt>
                <c:pt idx="27">
                  <c:v>0.50856481481481486</c:v>
                </c:pt>
                <c:pt idx="28">
                  <c:v>0.50868055555555558</c:v>
                </c:pt>
                <c:pt idx="29">
                  <c:v>0.5087962962962963</c:v>
                </c:pt>
                <c:pt idx="30">
                  <c:v>0.50891203703703702</c:v>
                </c:pt>
                <c:pt idx="31">
                  <c:v>0.50902777777777775</c:v>
                </c:pt>
                <c:pt idx="32">
                  <c:v>0.50914351851851847</c:v>
                </c:pt>
                <c:pt idx="33">
                  <c:v>0.5092592592592593</c:v>
                </c:pt>
                <c:pt idx="34">
                  <c:v>0.50937500000000002</c:v>
                </c:pt>
                <c:pt idx="35">
                  <c:v>0.50949074074074074</c:v>
                </c:pt>
                <c:pt idx="36">
                  <c:v>0.50960648148148147</c:v>
                </c:pt>
                <c:pt idx="37">
                  <c:v>0.50972222222222219</c:v>
                </c:pt>
                <c:pt idx="38">
                  <c:v>0.50983796296296291</c:v>
                </c:pt>
                <c:pt idx="39">
                  <c:v>0.50995370370370374</c:v>
                </c:pt>
                <c:pt idx="40">
                  <c:v>0.51006944444444446</c:v>
                </c:pt>
                <c:pt idx="41">
                  <c:v>0.51018518518518519</c:v>
                </c:pt>
                <c:pt idx="42">
                  <c:v>0.51030092592592591</c:v>
                </c:pt>
                <c:pt idx="43">
                  <c:v>0.51041666666666663</c:v>
                </c:pt>
                <c:pt idx="44">
                  <c:v>0.51053240740740735</c:v>
                </c:pt>
                <c:pt idx="45">
                  <c:v>0.51064814814814818</c:v>
                </c:pt>
                <c:pt idx="46">
                  <c:v>0.51875000000000004</c:v>
                </c:pt>
                <c:pt idx="47">
                  <c:v>0.51087962962962963</c:v>
                </c:pt>
                <c:pt idx="48">
                  <c:v>0.51099537037037035</c:v>
                </c:pt>
                <c:pt idx="49">
                  <c:v>0.51111111111111107</c:v>
                </c:pt>
                <c:pt idx="50">
                  <c:v>0.51122685185185179</c:v>
                </c:pt>
                <c:pt idx="51">
                  <c:v>0.51134259259259263</c:v>
                </c:pt>
                <c:pt idx="52">
                  <c:v>0.51145833333333335</c:v>
                </c:pt>
                <c:pt idx="53">
                  <c:v>0.51157407407407407</c:v>
                </c:pt>
                <c:pt idx="54">
                  <c:v>0.51168981481481479</c:v>
                </c:pt>
                <c:pt idx="55">
                  <c:v>0.51180555555555551</c:v>
                </c:pt>
                <c:pt idx="56">
                  <c:v>0.51192129629629624</c:v>
                </c:pt>
                <c:pt idx="57">
                  <c:v>0.51203703703703707</c:v>
                </c:pt>
                <c:pt idx="58">
                  <c:v>0.51215277777777779</c:v>
                </c:pt>
                <c:pt idx="59">
                  <c:v>0.51226851851851851</c:v>
                </c:pt>
                <c:pt idx="60">
                  <c:v>0.51238425925925923</c:v>
                </c:pt>
                <c:pt idx="61">
                  <c:v>0.51249999999999996</c:v>
                </c:pt>
                <c:pt idx="62">
                  <c:v>0.51261574074074068</c:v>
                </c:pt>
                <c:pt idx="63">
                  <c:v>0.51273148148148151</c:v>
                </c:pt>
                <c:pt idx="64">
                  <c:v>0.51284722222222223</c:v>
                </c:pt>
                <c:pt idx="65">
                  <c:v>0.51296296296296295</c:v>
                </c:pt>
                <c:pt idx="66">
                  <c:v>0.51307870370370368</c:v>
                </c:pt>
                <c:pt idx="67">
                  <c:v>0.5131944444444444</c:v>
                </c:pt>
                <c:pt idx="68">
                  <c:v>0.51331018518518512</c:v>
                </c:pt>
                <c:pt idx="69">
                  <c:v>0.51342592592592595</c:v>
                </c:pt>
                <c:pt idx="70">
                  <c:v>0.51354166666666667</c:v>
                </c:pt>
                <c:pt idx="71">
                  <c:v>0.5136574074074074</c:v>
                </c:pt>
                <c:pt idx="72">
                  <c:v>0.51377314814814812</c:v>
                </c:pt>
                <c:pt idx="73">
                  <c:v>0.51388888888888884</c:v>
                </c:pt>
                <c:pt idx="74">
                  <c:v>0.51400462962962967</c:v>
                </c:pt>
                <c:pt idx="75">
                  <c:v>0.51412037037037039</c:v>
                </c:pt>
                <c:pt idx="76">
                  <c:v>0.51423611111111112</c:v>
                </c:pt>
                <c:pt idx="77">
                  <c:v>0.51435185185185184</c:v>
                </c:pt>
                <c:pt idx="78">
                  <c:v>0.51446759259259256</c:v>
                </c:pt>
                <c:pt idx="79">
                  <c:v>0.51458333333333328</c:v>
                </c:pt>
                <c:pt idx="80">
                  <c:v>0.51469907407407411</c:v>
                </c:pt>
                <c:pt idx="81">
                  <c:v>0.51481481481481484</c:v>
                </c:pt>
                <c:pt idx="82">
                  <c:v>0.51493055555555556</c:v>
                </c:pt>
                <c:pt idx="83">
                  <c:v>0.51504629629629628</c:v>
                </c:pt>
                <c:pt idx="84">
                  <c:v>0.515162037037037</c:v>
                </c:pt>
                <c:pt idx="85">
                  <c:v>0.51527777777777772</c:v>
                </c:pt>
                <c:pt idx="86">
                  <c:v>0.51539351851851856</c:v>
                </c:pt>
                <c:pt idx="87">
                  <c:v>0.51550925925925928</c:v>
                </c:pt>
                <c:pt idx="88">
                  <c:v>0.515625</c:v>
                </c:pt>
                <c:pt idx="89">
                  <c:v>0.51574074074074072</c:v>
                </c:pt>
                <c:pt idx="90">
                  <c:v>0.51585648148148144</c:v>
                </c:pt>
                <c:pt idx="91">
                  <c:v>0.51597222222222217</c:v>
                </c:pt>
                <c:pt idx="92">
                  <c:v>0.516087962962963</c:v>
                </c:pt>
                <c:pt idx="93">
                  <c:v>0.51620370370370372</c:v>
                </c:pt>
                <c:pt idx="94">
                  <c:v>0.51631944444444444</c:v>
                </c:pt>
                <c:pt idx="95">
                  <c:v>0.51643518518518516</c:v>
                </c:pt>
                <c:pt idx="96">
                  <c:v>0.51655092592592589</c:v>
                </c:pt>
                <c:pt idx="97">
                  <c:v>0.51666666666666661</c:v>
                </c:pt>
                <c:pt idx="98">
                  <c:v>0.51678240740740744</c:v>
                </c:pt>
                <c:pt idx="99">
                  <c:v>0.51689814814814816</c:v>
                </c:pt>
                <c:pt idx="100">
                  <c:v>0.51701388888888888</c:v>
                </c:pt>
                <c:pt idx="101">
                  <c:v>0.51712962962962961</c:v>
                </c:pt>
                <c:pt idx="102">
                  <c:v>0.51724537037037033</c:v>
                </c:pt>
                <c:pt idx="103">
                  <c:v>0.51736111111111105</c:v>
                </c:pt>
                <c:pt idx="104">
                  <c:v>0.51747685185185188</c:v>
                </c:pt>
                <c:pt idx="105">
                  <c:v>0.5175925925925926</c:v>
                </c:pt>
                <c:pt idx="106">
                  <c:v>0.51770833333333333</c:v>
                </c:pt>
                <c:pt idx="107">
                  <c:v>0.51782407407407405</c:v>
                </c:pt>
                <c:pt idx="108">
                  <c:v>0.51793981481481477</c:v>
                </c:pt>
                <c:pt idx="109">
                  <c:v>0.51805555555555549</c:v>
                </c:pt>
                <c:pt idx="110">
                  <c:v>0.51817129629629632</c:v>
                </c:pt>
                <c:pt idx="111">
                  <c:v>0.51828703703703705</c:v>
                </c:pt>
                <c:pt idx="112">
                  <c:v>0.51840277777777777</c:v>
                </c:pt>
                <c:pt idx="113">
                  <c:v>0.51851851851851849</c:v>
                </c:pt>
                <c:pt idx="114">
                  <c:v>0.51863425925925921</c:v>
                </c:pt>
                <c:pt idx="115">
                  <c:v>0.51875000000000004</c:v>
                </c:pt>
                <c:pt idx="116">
                  <c:v>0.51990740740740737</c:v>
                </c:pt>
                <c:pt idx="117">
                  <c:v>0.52002314814837958</c:v>
                </c:pt>
                <c:pt idx="118">
                  <c:v>0.52013888888935189</c:v>
                </c:pt>
                <c:pt idx="119">
                  <c:v>0.52025462963032409</c:v>
                </c:pt>
                <c:pt idx="120">
                  <c:v>0.5203703703712963</c:v>
                </c:pt>
                <c:pt idx="121">
                  <c:v>0.5204861111122685</c:v>
                </c:pt>
                <c:pt idx="122">
                  <c:v>0.5206018518532407</c:v>
                </c:pt>
                <c:pt idx="123">
                  <c:v>0.52071759259421291</c:v>
                </c:pt>
                <c:pt idx="124">
                  <c:v>0.52083333333518522</c:v>
                </c:pt>
                <c:pt idx="125">
                  <c:v>0.52094907407615743</c:v>
                </c:pt>
                <c:pt idx="126">
                  <c:v>0.52106481481712963</c:v>
                </c:pt>
                <c:pt idx="127">
                  <c:v>0.52118055555810183</c:v>
                </c:pt>
                <c:pt idx="128">
                  <c:v>0.52129629629907404</c:v>
                </c:pt>
                <c:pt idx="129">
                  <c:v>0.52141203704004635</c:v>
                </c:pt>
                <c:pt idx="130">
                  <c:v>0.52152777778101855</c:v>
                </c:pt>
                <c:pt idx="131">
                  <c:v>0.52164351852199076</c:v>
                </c:pt>
                <c:pt idx="132">
                  <c:v>0.52175925926296296</c:v>
                </c:pt>
                <c:pt idx="133">
                  <c:v>0.52187499999999998</c:v>
                </c:pt>
                <c:pt idx="134">
                  <c:v>0.52199074074097218</c:v>
                </c:pt>
                <c:pt idx="135">
                  <c:v>0.52210648148194438</c:v>
                </c:pt>
                <c:pt idx="136">
                  <c:v>0.5222222222229167</c:v>
                </c:pt>
                <c:pt idx="137">
                  <c:v>0.5229166666666667</c:v>
                </c:pt>
              </c:numCache>
            </c:numRef>
          </c:xVal>
          <c:yVal>
            <c:numRef>
              <c:f>'downstream conductivity'!$C$7:$C$144</c:f>
              <c:numCache>
                <c:formatCode>General</c:formatCode>
                <c:ptCount val="138"/>
                <c:pt idx="0">
                  <c:v>93.8</c:v>
                </c:pt>
                <c:pt idx="1">
                  <c:v>93.7</c:v>
                </c:pt>
                <c:pt idx="2">
                  <c:v>93.6</c:v>
                </c:pt>
                <c:pt idx="3">
                  <c:v>93.6</c:v>
                </c:pt>
                <c:pt idx="4">
                  <c:v>93.6</c:v>
                </c:pt>
                <c:pt idx="5">
                  <c:v>93.6</c:v>
                </c:pt>
                <c:pt idx="6">
                  <c:v>93.6</c:v>
                </c:pt>
                <c:pt idx="7">
                  <c:v>93.6</c:v>
                </c:pt>
                <c:pt idx="8">
                  <c:v>93.6</c:v>
                </c:pt>
                <c:pt idx="9">
                  <c:v>93.7</c:v>
                </c:pt>
                <c:pt idx="10">
                  <c:v>94.5</c:v>
                </c:pt>
                <c:pt idx="11">
                  <c:v>95.1</c:v>
                </c:pt>
                <c:pt idx="12">
                  <c:v>95.7</c:v>
                </c:pt>
                <c:pt idx="13">
                  <c:v>96.6</c:v>
                </c:pt>
                <c:pt idx="14">
                  <c:v>98.1</c:v>
                </c:pt>
                <c:pt idx="15">
                  <c:v>99.3</c:v>
                </c:pt>
                <c:pt idx="16">
                  <c:v>100.8</c:v>
                </c:pt>
                <c:pt idx="17">
                  <c:v>102.7</c:v>
                </c:pt>
                <c:pt idx="18">
                  <c:v>104.6</c:v>
                </c:pt>
                <c:pt idx="19">
                  <c:v>105.5</c:v>
                </c:pt>
                <c:pt idx="20">
                  <c:v>107.2</c:v>
                </c:pt>
                <c:pt idx="21">
                  <c:v>108.3</c:v>
                </c:pt>
                <c:pt idx="22">
                  <c:v>109.9</c:v>
                </c:pt>
                <c:pt idx="23">
                  <c:v>111.1</c:v>
                </c:pt>
                <c:pt idx="24">
                  <c:v>112.1</c:v>
                </c:pt>
                <c:pt idx="25">
                  <c:v>112.9</c:v>
                </c:pt>
                <c:pt idx="26">
                  <c:v>113.4</c:v>
                </c:pt>
                <c:pt idx="27">
                  <c:v>113.9</c:v>
                </c:pt>
                <c:pt idx="28">
                  <c:v>114.1</c:v>
                </c:pt>
                <c:pt idx="29">
                  <c:v>114.1</c:v>
                </c:pt>
                <c:pt idx="30">
                  <c:v>114.1</c:v>
                </c:pt>
                <c:pt idx="31">
                  <c:v>113.9</c:v>
                </c:pt>
                <c:pt idx="32">
                  <c:v>113.4</c:v>
                </c:pt>
                <c:pt idx="33">
                  <c:v>113.1</c:v>
                </c:pt>
                <c:pt idx="34">
                  <c:v>112.6</c:v>
                </c:pt>
                <c:pt idx="35">
                  <c:v>112.3</c:v>
                </c:pt>
                <c:pt idx="36">
                  <c:v>111.7</c:v>
                </c:pt>
                <c:pt idx="37">
                  <c:v>111.2</c:v>
                </c:pt>
                <c:pt idx="38">
                  <c:v>110.6</c:v>
                </c:pt>
                <c:pt idx="39">
                  <c:v>110</c:v>
                </c:pt>
                <c:pt idx="40">
                  <c:v>109.5</c:v>
                </c:pt>
                <c:pt idx="41">
                  <c:v>108.8</c:v>
                </c:pt>
                <c:pt idx="42">
                  <c:v>108.1</c:v>
                </c:pt>
                <c:pt idx="43">
                  <c:v>107.3</c:v>
                </c:pt>
                <c:pt idx="44">
                  <c:v>106.8</c:v>
                </c:pt>
                <c:pt idx="45">
                  <c:v>106.4</c:v>
                </c:pt>
                <c:pt idx="46">
                  <c:v>105.8</c:v>
                </c:pt>
                <c:pt idx="47">
                  <c:v>105.3</c:v>
                </c:pt>
                <c:pt idx="48">
                  <c:v>105</c:v>
                </c:pt>
                <c:pt idx="49">
                  <c:v>104.3</c:v>
                </c:pt>
                <c:pt idx="50">
                  <c:v>104</c:v>
                </c:pt>
                <c:pt idx="51">
                  <c:v>103.4</c:v>
                </c:pt>
                <c:pt idx="52">
                  <c:v>103</c:v>
                </c:pt>
                <c:pt idx="53">
                  <c:v>102.7</c:v>
                </c:pt>
                <c:pt idx="54">
                  <c:v>102.3</c:v>
                </c:pt>
                <c:pt idx="55">
                  <c:v>101.8</c:v>
                </c:pt>
                <c:pt idx="56">
                  <c:v>101.5</c:v>
                </c:pt>
                <c:pt idx="57">
                  <c:v>100.9</c:v>
                </c:pt>
                <c:pt idx="58">
                  <c:v>100.6</c:v>
                </c:pt>
                <c:pt idx="59">
                  <c:v>100.3</c:v>
                </c:pt>
                <c:pt idx="60">
                  <c:v>100</c:v>
                </c:pt>
                <c:pt idx="61">
                  <c:v>99.7</c:v>
                </c:pt>
                <c:pt idx="62">
                  <c:v>99.4</c:v>
                </c:pt>
                <c:pt idx="63">
                  <c:v>99.1</c:v>
                </c:pt>
                <c:pt idx="64">
                  <c:v>98.8</c:v>
                </c:pt>
                <c:pt idx="65">
                  <c:v>98.5</c:v>
                </c:pt>
                <c:pt idx="66">
                  <c:v>98.3</c:v>
                </c:pt>
                <c:pt idx="67">
                  <c:v>98.1</c:v>
                </c:pt>
                <c:pt idx="68">
                  <c:v>97.8</c:v>
                </c:pt>
                <c:pt idx="69">
                  <c:v>97.6</c:v>
                </c:pt>
                <c:pt idx="70">
                  <c:v>97.4</c:v>
                </c:pt>
                <c:pt idx="71">
                  <c:v>97.3</c:v>
                </c:pt>
                <c:pt idx="72">
                  <c:v>97</c:v>
                </c:pt>
                <c:pt idx="73">
                  <c:v>96.8</c:v>
                </c:pt>
                <c:pt idx="74">
                  <c:v>96.6</c:v>
                </c:pt>
                <c:pt idx="75">
                  <c:v>96.6</c:v>
                </c:pt>
                <c:pt idx="76">
                  <c:v>96.5</c:v>
                </c:pt>
                <c:pt idx="77">
                  <c:v>96.2</c:v>
                </c:pt>
                <c:pt idx="78">
                  <c:v>96.1</c:v>
                </c:pt>
                <c:pt idx="79">
                  <c:v>96</c:v>
                </c:pt>
                <c:pt idx="80">
                  <c:v>95.8</c:v>
                </c:pt>
                <c:pt idx="81">
                  <c:v>95.6</c:v>
                </c:pt>
                <c:pt idx="82">
                  <c:v>95.5</c:v>
                </c:pt>
                <c:pt idx="83">
                  <c:v>95.5</c:v>
                </c:pt>
                <c:pt idx="84">
                  <c:v>95.4</c:v>
                </c:pt>
                <c:pt idx="85">
                  <c:v>95.2</c:v>
                </c:pt>
                <c:pt idx="86">
                  <c:v>95.2</c:v>
                </c:pt>
                <c:pt idx="87">
                  <c:v>95.1</c:v>
                </c:pt>
                <c:pt idx="88">
                  <c:v>95.1</c:v>
                </c:pt>
                <c:pt idx="89">
                  <c:v>95</c:v>
                </c:pt>
                <c:pt idx="90">
                  <c:v>94.9</c:v>
                </c:pt>
                <c:pt idx="91">
                  <c:v>94.8</c:v>
                </c:pt>
                <c:pt idx="92">
                  <c:v>94.8</c:v>
                </c:pt>
                <c:pt idx="93">
                  <c:v>94.7</c:v>
                </c:pt>
                <c:pt idx="94">
                  <c:v>94.7</c:v>
                </c:pt>
                <c:pt idx="95">
                  <c:v>94.6</c:v>
                </c:pt>
                <c:pt idx="96">
                  <c:v>94.5</c:v>
                </c:pt>
                <c:pt idx="97">
                  <c:v>94.6</c:v>
                </c:pt>
                <c:pt idx="98">
                  <c:v>94.5</c:v>
                </c:pt>
                <c:pt idx="99">
                  <c:v>94.9</c:v>
                </c:pt>
                <c:pt idx="100">
                  <c:v>94.4</c:v>
                </c:pt>
                <c:pt idx="101">
                  <c:v>94.3</c:v>
                </c:pt>
                <c:pt idx="102">
                  <c:v>94.3</c:v>
                </c:pt>
                <c:pt idx="103">
                  <c:v>94.3</c:v>
                </c:pt>
                <c:pt idx="104">
                  <c:v>94.2</c:v>
                </c:pt>
                <c:pt idx="105">
                  <c:v>94.2</c:v>
                </c:pt>
                <c:pt idx="106">
                  <c:v>94.2</c:v>
                </c:pt>
                <c:pt idx="107">
                  <c:v>94</c:v>
                </c:pt>
                <c:pt idx="108">
                  <c:v>94.1</c:v>
                </c:pt>
                <c:pt idx="109">
                  <c:v>94.1</c:v>
                </c:pt>
                <c:pt idx="110">
                  <c:v>94.1</c:v>
                </c:pt>
                <c:pt idx="111">
                  <c:v>94.1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94</c:v>
                </c:pt>
                <c:pt idx="116">
                  <c:v>93.9</c:v>
                </c:pt>
                <c:pt idx="117">
                  <c:v>93.9</c:v>
                </c:pt>
                <c:pt idx="118">
                  <c:v>94</c:v>
                </c:pt>
                <c:pt idx="119">
                  <c:v>93.9</c:v>
                </c:pt>
                <c:pt idx="120">
                  <c:v>93.9</c:v>
                </c:pt>
                <c:pt idx="121">
                  <c:v>93.9</c:v>
                </c:pt>
                <c:pt idx="122">
                  <c:v>94</c:v>
                </c:pt>
                <c:pt idx="123">
                  <c:v>93.9</c:v>
                </c:pt>
                <c:pt idx="124">
                  <c:v>93.9</c:v>
                </c:pt>
                <c:pt idx="125">
                  <c:v>93.9</c:v>
                </c:pt>
                <c:pt idx="126">
                  <c:v>93.9</c:v>
                </c:pt>
                <c:pt idx="127">
                  <c:v>93.9</c:v>
                </c:pt>
                <c:pt idx="128">
                  <c:v>93.9</c:v>
                </c:pt>
                <c:pt idx="129">
                  <c:v>93.9</c:v>
                </c:pt>
                <c:pt idx="130">
                  <c:v>94</c:v>
                </c:pt>
                <c:pt idx="131">
                  <c:v>93.9</c:v>
                </c:pt>
                <c:pt idx="132">
                  <c:v>93.9</c:v>
                </c:pt>
                <c:pt idx="133">
                  <c:v>93.8</c:v>
                </c:pt>
                <c:pt idx="134">
                  <c:v>93.9</c:v>
                </c:pt>
                <c:pt idx="135">
                  <c:v>93.9</c:v>
                </c:pt>
                <c:pt idx="136">
                  <c:v>93.9</c:v>
                </c:pt>
                <c:pt idx="137">
                  <c:v>93.9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9-0746-A0B5-97F2C5DDB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94688"/>
        <c:axId val="2032695104"/>
      </c:scatterChart>
      <c:valAx>
        <c:axId val="20326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5104"/>
        <c:crosses val="autoZero"/>
        <c:crossBetween val="midCat"/>
      </c:valAx>
      <c:valAx>
        <c:axId val="20326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</a:t>
                </a:r>
                <a:r>
                  <a:rPr lang="en-US" baseline="0"/>
                  <a:t> Conductivity (us/cm)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Downstream Conductivity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'downstream conductivity'!$M$7:$M$156</c:f>
              <c:numCache>
                <c:formatCode>h:mm</c:formatCode>
                <c:ptCount val="150"/>
                <c:pt idx="0">
                  <c:v>0.53090277777777783</c:v>
                </c:pt>
                <c:pt idx="1">
                  <c:v>0.53125</c:v>
                </c:pt>
                <c:pt idx="2">
                  <c:v>0.53159722222222228</c:v>
                </c:pt>
                <c:pt idx="3">
                  <c:v>0.53194444444444444</c:v>
                </c:pt>
                <c:pt idx="4">
                  <c:v>0.53229166666666672</c:v>
                </c:pt>
                <c:pt idx="5">
                  <c:v>0.53263888888888888</c:v>
                </c:pt>
                <c:pt idx="6">
                  <c:v>0.53298611111111116</c:v>
                </c:pt>
                <c:pt idx="7">
                  <c:v>0.53333333333333333</c:v>
                </c:pt>
                <c:pt idx="8">
                  <c:v>0.53402777777777777</c:v>
                </c:pt>
                <c:pt idx="9">
                  <c:v>0.53472222222222221</c:v>
                </c:pt>
                <c:pt idx="10">
                  <c:v>0.53541666666666665</c:v>
                </c:pt>
                <c:pt idx="11">
                  <c:v>0.53611111111111109</c:v>
                </c:pt>
                <c:pt idx="12">
                  <c:v>0.53692129629652774</c:v>
                </c:pt>
                <c:pt idx="13">
                  <c:v>0.53703703703726857</c:v>
                </c:pt>
                <c:pt idx="14">
                  <c:v>0.53715277777800929</c:v>
                </c:pt>
                <c:pt idx="15">
                  <c:v>0.53726851851875002</c:v>
                </c:pt>
                <c:pt idx="16">
                  <c:v>0.53738425925949085</c:v>
                </c:pt>
                <c:pt idx="17">
                  <c:v>0.53750000000023157</c:v>
                </c:pt>
                <c:pt idx="18">
                  <c:v>0.5376157407409724</c:v>
                </c:pt>
                <c:pt idx="19">
                  <c:v>0.53773148148171312</c:v>
                </c:pt>
                <c:pt idx="20">
                  <c:v>0.53784722222245385</c:v>
                </c:pt>
                <c:pt idx="21">
                  <c:v>0.53796296296319468</c:v>
                </c:pt>
                <c:pt idx="22">
                  <c:v>0.5380787037039354</c:v>
                </c:pt>
                <c:pt idx="23">
                  <c:v>0.53819444444467623</c:v>
                </c:pt>
                <c:pt idx="24">
                  <c:v>0.53831018518541696</c:v>
                </c:pt>
                <c:pt idx="25">
                  <c:v>0.53842592592615768</c:v>
                </c:pt>
                <c:pt idx="26">
                  <c:v>0.53854166666689851</c:v>
                </c:pt>
                <c:pt idx="27">
                  <c:v>0.53865740740763923</c:v>
                </c:pt>
                <c:pt idx="28">
                  <c:v>0.53877314814837995</c:v>
                </c:pt>
                <c:pt idx="29">
                  <c:v>0.53888888888912079</c:v>
                </c:pt>
                <c:pt idx="30">
                  <c:v>0.53900462962986151</c:v>
                </c:pt>
                <c:pt idx="31">
                  <c:v>0.53912037037060234</c:v>
                </c:pt>
                <c:pt idx="32">
                  <c:v>0.53923611111134306</c:v>
                </c:pt>
                <c:pt idx="33">
                  <c:v>0.53935185185208379</c:v>
                </c:pt>
                <c:pt idx="34">
                  <c:v>0.53946759259282462</c:v>
                </c:pt>
                <c:pt idx="35">
                  <c:v>0.53958333333356534</c:v>
                </c:pt>
                <c:pt idx="36">
                  <c:v>0.53969907407430606</c:v>
                </c:pt>
                <c:pt idx="37">
                  <c:v>0.5398148148150469</c:v>
                </c:pt>
                <c:pt idx="38">
                  <c:v>0.53993055555578762</c:v>
                </c:pt>
                <c:pt idx="39">
                  <c:v>0.54004629629652845</c:v>
                </c:pt>
                <c:pt idx="40">
                  <c:v>0.54016203703726917</c:v>
                </c:pt>
                <c:pt idx="41">
                  <c:v>0.54027777777800989</c:v>
                </c:pt>
                <c:pt idx="42">
                  <c:v>0.54039351851875073</c:v>
                </c:pt>
                <c:pt idx="43">
                  <c:v>0.54050925925949145</c:v>
                </c:pt>
                <c:pt idx="44">
                  <c:v>0.54062500000023217</c:v>
                </c:pt>
                <c:pt idx="45">
                  <c:v>0.540740740740973</c:v>
                </c:pt>
                <c:pt idx="46">
                  <c:v>0.54085648148171372</c:v>
                </c:pt>
                <c:pt idx="47">
                  <c:v>0.54097222222245456</c:v>
                </c:pt>
                <c:pt idx="48">
                  <c:v>0.54108796296319528</c:v>
                </c:pt>
                <c:pt idx="49">
                  <c:v>0.541203703703936</c:v>
                </c:pt>
                <c:pt idx="50">
                  <c:v>0.54131944444467683</c:v>
                </c:pt>
                <c:pt idx="51">
                  <c:v>0.54143518518541756</c:v>
                </c:pt>
                <c:pt idx="52">
                  <c:v>0.54155092592615828</c:v>
                </c:pt>
                <c:pt idx="53">
                  <c:v>0.54166666666689911</c:v>
                </c:pt>
                <c:pt idx="54">
                  <c:v>0.54178240740763983</c:v>
                </c:pt>
                <c:pt idx="55">
                  <c:v>0.54189814814838067</c:v>
                </c:pt>
                <c:pt idx="56">
                  <c:v>0.54201388888912139</c:v>
                </c:pt>
                <c:pt idx="57">
                  <c:v>0.54212962962986211</c:v>
                </c:pt>
                <c:pt idx="58">
                  <c:v>0.54224537037060294</c:v>
                </c:pt>
                <c:pt idx="59">
                  <c:v>0.54236111111134366</c:v>
                </c:pt>
                <c:pt idx="60">
                  <c:v>0.5424768518520845</c:v>
                </c:pt>
                <c:pt idx="61">
                  <c:v>0.54259259259282522</c:v>
                </c:pt>
                <c:pt idx="62">
                  <c:v>0.54270833333356594</c:v>
                </c:pt>
                <c:pt idx="63">
                  <c:v>0.54282407407430677</c:v>
                </c:pt>
                <c:pt idx="64">
                  <c:v>0.54293981481504749</c:v>
                </c:pt>
                <c:pt idx="65">
                  <c:v>0.54305555555578822</c:v>
                </c:pt>
                <c:pt idx="66">
                  <c:v>0.54317129629652905</c:v>
                </c:pt>
                <c:pt idx="67">
                  <c:v>0.54328703703726977</c:v>
                </c:pt>
                <c:pt idx="68">
                  <c:v>0.5434027777780106</c:v>
                </c:pt>
                <c:pt idx="69">
                  <c:v>0.54351851851875133</c:v>
                </c:pt>
                <c:pt idx="70">
                  <c:v>0.54363425925949205</c:v>
                </c:pt>
                <c:pt idx="71">
                  <c:v>0.54375000000023288</c:v>
                </c:pt>
                <c:pt idx="72">
                  <c:v>0.5438657407409736</c:v>
                </c:pt>
                <c:pt idx="73">
                  <c:v>0.54398148148171432</c:v>
                </c:pt>
                <c:pt idx="74">
                  <c:v>0.54409722222245516</c:v>
                </c:pt>
                <c:pt idx="75">
                  <c:v>0.54421296296319588</c:v>
                </c:pt>
                <c:pt idx="76">
                  <c:v>0.54432870370393671</c:v>
                </c:pt>
                <c:pt idx="77">
                  <c:v>0.54444444444467743</c:v>
                </c:pt>
                <c:pt idx="78">
                  <c:v>0.54456018518541816</c:v>
                </c:pt>
                <c:pt idx="79">
                  <c:v>0.54467592592615899</c:v>
                </c:pt>
                <c:pt idx="80">
                  <c:v>0.54479166666689971</c:v>
                </c:pt>
                <c:pt idx="81">
                  <c:v>0.54490740740764043</c:v>
                </c:pt>
                <c:pt idx="82">
                  <c:v>0.54502314814838126</c:v>
                </c:pt>
                <c:pt idx="83">
                  <c:v>0.54513888888912199</c:v>
                </c:pt>
                <c:pt idx="84">
                  <c:v>0.54525462962986282</c:v>
                </c:pt>
                <c:pt idx="85">
                  <c:v>0.54537037037060354</c:v>
                </c:pt>
                <c:pt idx="86">
                  <c:v>0.54548611111134426</c:v>
                </c:pt>
                <c:pt idx="87">
                  <c:v>0.5456018518520851</c:v>
                </c:pt>
                <c:pt idx="88">
                  <c:v>0.54571759259282582</c:v>
                </c:pt>
                <c:pt idx="89">
                  <c:v>0.54583333333356654</c:v>
                </c:pt>
                <c:pt idx="90">
                  <c:v>0.54594907407430737</c:v>
                </c:pt>
                <c:pt idx="91">
                  <c:v>0.54606481481504809</c:v>
                </c:pt>
                <c:pt idx="92">
                  <c:v>0.54618055555578893</c:v>
                </c:pt>
                <c:pt idx="93">
                  <c:v>0.54629629629652965</c:v>
                </c:pt>
                <c:pt idx="94">
                  <c:v>0.54641203703727037</c:v>
                </c:pt>
                <c:pt idx="95">
                  <c:v>0.5465277777780112</c:v>
                </c:pt>
                <c:pt idx="96">
                  <c:v>0.54664351851875193</c:v>
                </c:pt>
                <c:pt idx="97">
                  <c:v>0.54675925925949265</c:v>
                </c:pt>
                <c:pt idx="98">
                  <c:v>0.54687500000023348</c:v>
                </c:pt>
                <c:pt idx="99">
                  <c:v>0.5469907407409742</c:v>
                </c:pt>
                <c:pt idx="100">
                  <c:v>0.54710648148171503</c:v>
                </c:pt>
                <c:pt idx="101">
                  <c:v>0.54722222222245576</c:v>
                </c:pt>
                <c:pt idx="102">
                  <c:v>0.54733796296319648</c:v>
                </c:pt>
                <c:pt idx="103">
                  <c:v>0.54745370370393731</c:v>
                </c:pt>
                <c:pt idx="104">
                  <c:v>0.54756944444467803</c:v>
                </c:pt>
                <c:pt idx="105">
                  <c:v>0.54768518518541875</c:v>
                </c:pt>
                <c:pt idx="106">
                  <c:v>0.54780092592615959</c:v>
                </c:pt>
                <c:pt idx="107">
                  <c:v>0.54791666666690031</c:v>
                </c:pt>
                <c:pt idx="108">
                  <c:v>0.54803240740764114</c:v>
                </c:pt>
                <c:pt idx="109">
                  <c:v>0.54814814814838186</c:v>
                </c:pt>
                <c:pt idx="110">
                  <c:v>0.54826388888912259</c:v>
                </c:pt>
                <c:pt idx="111">
                  <c:v>0.54837962962986342</c:v>
                </c:pt>
                <c:pt idx="112">
                  <c:v>0.54849537037060414</c:v>
                </c:pt>
                <c:pt idx="113">
                  <c:v>0.54861111111134497</c:v>
                </c:pt>
                <c:pt idx="114">
                  <c:v>0.5487268518520857</c:v>
                </c:pt>
                <c:pt idx="115">
                  <c:v>0.54884259259282642</c:v>
                </c:pt>
                <c:pt idx="116">
                  <c:v>0.54895833333356725</c:v>
                </c:pt>
                <c:pt idx="117">
                  <c:v>0.54907407407430797</c:v>
                </c:pt>
                <c:pt idx="118">
                  <c:v>0.54918981481504869</c:v>
                </c:pt>
                <c:pt idx="119">
                  <c:v>0.54930555555578953</c:v>
                </c:pt>
                <c:pt idx="120">
                  <c:v>0.54942129629653025</c:v>
                </c:pt>
                <c:pt idx="121">
                  <c:v>0.54953703703727108</c:v>
                </c:pt>
                <c:pt idx="122">
                  <c:v>0.5496527777780118</c:v>
                </c:pt>
                <c:pt idx="123">
                  <c:v>0.54976851851875252</c:v>
                </c:pt>
                <c:pt idx="124">
                  <c:v>0.54988425925949336</c:v>
                </c:pt>
                <c:pt idx="125">
                  <c:v>0.55000000000023408</c:v>
                </c:pt>
                <c:pt idx="126">
                  <c:v>0.5501157407409748</c:v>
                </c:pt>
                <c:pt idx="127">
                  <c:v>0.55023148148171563</c:v>
                </c:pt>
                <c:pt idx="128">
                  <c:v>0.55034722222245636</c:v>
                </c:pt>
                <c:pt idx="129">
                  <c:v>0.55046296296319719</c:v>
                </c:pt>
                <c:pt idx="130">
                  <c:v>0.55057870370393791</c:v>
                </c:pt>
                <c:pt idx="131">
                  <c:v>0.55069444444467863</c:v>
                </c:pt>
                <c:pt idx="132">
                  <c:v>0.55081018518541947</c:v>
                </c:pt>
                <c:pt idx="133">
                  <c:v>0.55092592592616019</c:v>
                </c:pt>
                <c:pt idx="134">
                  <c:v>0.55104166666690091</c:v>
                </c:pt>
                <c:pt idx="135">
                  <c:v>0.55115740740764174</c:v>
                </c:pt>
                <c:pt idx="136">
                  <c:v>0.55127314814838246</c:v>
                </c:pt>
                <c:pt idx="137">
                  <c:v>0.5513888888891233</c:v>
                </c:pt>
                <c:pt idx="138">
                  <c:v>0.55150462962986402</c:v>
                </c:pt>
                <c:pt idx="139">
                  <c:v>0.55162037037060474</c:v>
                </c:pt>
                <c:pt idx="140">
                  <c:v>0.55173611111134557</c:v>
                </c:pt>
                <c:pt idx="141">
                  <c:v>0.55185185185208629</c:v>
                </c:pt>
                <c:pt idx="142">
                  <c:v>0.55196759259282713</c:v>
                </c:pt>
                <c:pt idx="143">
                  <c:v>0.55208333333356785</c:v>
                </c:pt>
                <c:pt idx="144">
                  <c:v>0.55219907407430857</c:v>
                </c:pt>
                <c:pt idx="145">
                  <c:v>0.5523148148150494</c:v>
                </c:pt>
                <c:pt idx="146">
                  <c:v>0.55243055555579013</c:v>
                </c:pt>
                <c:pt idx="147">
                  <c:v>0.55254629629653085</c:v>
                </c:pt>
                <c:pt idx="148">
                  <c:v>0.55266203703727168</c:v>
                </c:pt>
                <c:pt idx="149">
                  <c:v>0.5527777777780124</c:v>
                </c:pt>
              </c:numCache>
            </c:numRef>
          </c:xVal>
          <c:yVal>
            <c:numRef>
              <c:f>'downstream conductivity'!$N$7:$N$156</c:f>
              <c:numCache>
                <c:formatCode>General</c:formatCode>
                <c:ptCount val="150"/>
                <c:pt idx="0">
                  <c:v>93.7</c:v>
                </c:pt>
                <c:pt idx="1">
                  <c:v>93.6</c:v>
                </c:pt>
                <c:pt idx="2">
                  <c:v>93.8</c:v>
                </c:pt>
                <c:pt idx="3">
                  <c:v>93.7</c:v>
                </c:pt>
                <c:pt idx="4">
                  <c:v>93.6</c:v>
                </c:pt>
                <c:pt idx="5">
                  <c:v>93.6</c:v>
                </c:pt>
                <c:pt idx="6">
                  <c:v>93.7</c:v>
                </c:pt>
                <c:pt idx="7">
                  <c:v>93.6</c:v>
                </c:pt>
                <c:pt idx="8">
                  <c:v>93.7</c:v>
                </c:pt>
                <c:pt idx="9">
                  <c:v>93.7</c:v>
                </c:pt>
                <c:pt idx="10">
                  <c:v>93.6</c:v>
                </c:pt>
                <c:pt idx="11">
                  <c:v>93.6</c:v>
                </c:pt>
                <c:pt idx="12">
                  <c:v>93.9</c:v>
                </c:pt>
                <c:pt idx="13">
                  <c:v>94</c:v>
                </c:pt>
                <c:pt idx="14">
                  <c:v>94.5</c:v>
                </c:pt>
                <c:pt idx="15">
                  <c:v>94.7</c:v>
                </c:pt>
                <c:pt idx="16">
                  <c:v>95.6</c:v>
                </c:pt>
                <c:pt idx="17">
                  <c:v>96.8</c:v>
                </c:pt>
                <c:pt idx="18">
                  <c:v>97.8</c:v>
                </c:pt>
                <c:pt idx="19">
                  <c:v>99.2</c:v>
                </c:pt>
                <c:pt idx="20">
                  <c:v>100.2</c:v>
                </c:pt>
                <c:pt idx="21">
                  <c:v>102.4</c:v>
                </c:pt>
                <c:pt idx="22">
                  <c:v>104</c:v>
                </c:pt>
                <c:pt idx="23">
                  <c:v>105.6</c:v>
                </c:pt>
                <c:pt idx="24">
                  <c:v>107.3</c:v>
                </c:pt>
                <c:pt idx="25">
                  <c:v>108.8</c:v>
                </c:pt>
                <c:pt idx="26">
                  <c:v>110</c:v>
                </c:pt>
                <c:pt idx="27">
                  <c:v>111.2</c:v>
                </c:pt>
                <c:pt idx="28">
                  <c:v>111.7</c:v>
                </c:pt>
                <c:pt idx="29">
                  <c:v>112.4</c:v>
                </c:pt>
                <c:pt idx="30">
                  <c:v>113</c:v>
                </c:pt>
                <c:pt idx="31">
                  <c:v>113.4</c:v>
                </c:pt>
                <c:pt idx="32">
                  <c:v>113.5</c:v>
                </c:pt>
                <c:pt idx="33">
                  <c:v>113.6</c:v>
                </c:pt>
                <c:pt idx="34">
                  <c:v>113.5</c:v>
                </c:pt>
                <c:pt idx="35">
                  <c:v>113.3</c:v>
                </c:pt>
                <c:pt idx="36">
                  <c:v>113</c:v>
                </c:pt>
                <c:pt idx="37">
                  <c:v>112.7</c:v>
                </c:pt>
                <c:pt idx="38">
                  <c:v>112.3</c:v>
                </c:pt>
                <c:pt idx="39">
                  <c:v>111.8</c:v>
                </c:pt>
                <c:pt idx="40">
                  <c:v>111.3</c:v>
                </c:pt>
                <c:pt idx="41">
                  <c:v>110.8</c:v>
                </c:pt>
                <c:pt idx="42">
                  <c:v>110.1</c:v>
                </c:pt>
                <c:pt idx="43">
                  <c:v>109.8</c:v>
                </c:pt>
                <c:pt idx="44">
                  <c:v>109.2</c:v>
                </c:pt>
                <c:pt idx="45">
                  <c:v>108.7</c:v>
                </c:pt>
                <c:pt idx="46">
                  <c:v>108</c:v>
                </c:pt>
                <c:pt idx="47">
                  <c:v>107.7</c:v>
                </c:pt>
                <c:pt idx="48">
                  <c:v>107</c:v>
                </c:pt>
                <c:pt idx="49">
                  <c:v>106.6</c:v>
                </c:pt>
                <c:pt idx="50">
                  <c:v>105.2</c:v>
                </c:pt>
                <c:pt idx="51">
                  <c:v>105.4</c:v>
                </c:pt>
                <c:pt idx="52">
                  <c:v>105</c:v>
                </c:pt>
                <c:pt idx="53">
                  <c:v>104.5</c:v>
                </c:pt>
                <c:pt idx="54">
                  <c:v>103.9</c:v>
                </c:pt>
                <c:pt idx="55">
                  <c:v>103.5</c:v>
                </c:pt>
                <c:pt idx="56">
                  <c:v>102.9</c:v>
                </c:pt>
                <c:pt idx="57">
                  <c:v>102.5</c:v>
                </c:pt>
                <c:pt idx="58">
                  <c:v>102</c:v>
                </c:pt>
                <c:pt idx="59">
                  <c:v>101.5</c:v>
                </c:pt>
                <c:pt idx="60">
                  <c:v>101.2</c:v>
                </c:pt>
                <c:pt idx="61">
                  <c:v>100.9</c:v>
                </c:pt>
                <c:pt idx="62">
                  <c:v>100.4</c:v>
                </c:pt>
                <c:pt idx="63">
                  <c:v>100.3</c:v>
                </c:pt>
                <c:pt idx="64">
                  <c:v>99.9</c:v>
                </c:pt>
                <c:pt idx="65">
                  <c:v>99.5</c:v>
                </c:pt>
                <c:pt idx="66">
                  <c:v>99.4</c:v>
                </c:pt>
                <c:pt idx="67">
                  <c:v>99</c:v>
                </c:pt>
                <c:pt idx="68">
                  <c:v>98.8</c:v>
                </c:pt>
                <c:pt idx="69">
                  <c:v>98.5</c:v>
                </c:pt>
                <c:pt idx="70">
                  <c:v>95.1</c:v>
                </c:pt>
                <c:pt idx="71">
                  <c:v>97.9</c:v>
                </c:pt>
                <c:pt idx="72">
                  <c:v>97.8</c:v>
                </c:pt>
                <c:pt idx="73">
                  <c:v>97.4</c:v>
                </c:pt>
                <c:pt idx="74">
                  <c:v>97.3</c:v>
                </c:pt>
                <c:pt idx="75">
                  <c:v>97.2</c:v>
                </c:pt>
                <c:pt idx="76">
                  <c:v>97.1</c:v>
                </c:pt>
                <c:pt idx="77">
                  <c:v>96.6</c:v>
                </c:pt>
                <c:pt idx="78">
                  <c:v>96.6</c:v>
                </c:pt>
                <c:pt idx="79">
                  <c:v>96.4</c:v>
                </c:pt>
                <c:pt idx="80">
                  <c:v>96.3</c:v>
                </c:pt>
                <c:pt idx="81">
                  <c:v>96.2</c:v>
                </c:pt>
                <c:pt idx="82">
                  <c:v>96</c:v>
                </c:pt>
                <c:pt idx="83">
                  <c:v>95.9</c:v>
                </c:pt>
                <c:pt idx="84">
                  <c:v>96.7</c:v>
                </c:pt>
                <c:pt idx="85">
                  <c:v>95.7</c:v>
                </c:pt>
                <c:pt idx="86">
                  <c:v>95.4</c:v>
                </c:pt>
                <c:pt idx="87">
                  <c:v>96.4</c:v>
                </c:pt>
                <c:pt idx="88">
                  <c:v>95.2</c:v>
                </c:pt>
                <c:pt idx="89">
                  <c:v>95.1</c:v>
                </c:pt>
                <c:pt idx="90">
                  <c:v>95.1</c:v>
                </c:pt>
                <c:pt idx="91">
                  <c:v>95</c:v>
                </c:pt>
                <c:pt idx="92">
                  <c:v>95</c:v>
                </c:pt>
                <c:pt idx="93">
                  <c:v>94.7</c:v>
                </c:pt>
                <c:pt idx="94">
                  <c:v>94.7</c:v>
                </c:pt>
                <c:pt idx="95">
                  <c:v>94.7</c:v>
                </c:pt>
                <c:pt idx="96">
                  <c:v>94.6</c:v>
                </c:pt>
                <c:pt idx="97">
                  <c:v>94.6</c:v>
                </c:pt>
                <c:pt idx="98">
                  <c:v>94.5</c:v>
                </c:pt>
                <c:pt idx="99">
                  <c:v>94.4</c:v>
                </c:pt>
                <c:pt idx="100">
                  <c:v>94.4</c:v>
                </c:pt>
                <c:pt idx="101">
                  <c:v>94.4</c:v>
                </c:pt>
                <c:pt idx="102">
                  <c:v>94.2</c:v>
                </c:pt>
                <c:pt idx="103">
                  <c:v>94.3</c:v>
                </c:pt>
                <c:pt idx="104">
                  <c:v>94.3</c:v>
                </c:pt>
                <c:pt idx="105">
                  <c:v>94.2</c:v>
                </c:pt>
                <c:pt idx="106">
                  <c:v>94.1</c:v>
                </c:pt>
                <c:pt idx="107">
                  <c:v>94.1</c:v>
                </c:pt>
                <c:pt idx="108">
                  <c:v>94.1</c:v>
                </c:pt>
                <c:pt idx="109">
                  <c:v>94.1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93.9</c:v>
                </c:pt>
                <c:pt idx="114">
                  <c:v>94</c:v>
                </c:pt>
                <c:pt idx="115">
                  <c:v>93.9</c:v>
                </c:pt>
                <c:pt idx="116">
                  <c:v>94</c:v>
                </c:pt>
                <c:pt idx="117">
                  <c:v>93.9</c:v>
                </c:pt>
                <c:pt idx="118">
                  <c:v>93.9</c:v>
                </c:pt>
                <c:pt idx="119">
                  <c:v>93.8</c:v>
                </c:pt>
                <c:pt idx="120">
                  <c:v>93.8</c:v>
                </c:pt>
                <c:pt idx="121">
                  <c:v>93.8</c:v>
                </c:pt>
                <c:pt idx="122">
                  <c:v>93.8</c:v>
                </c:pt>
                <c:pt idx="123">
                  <c:v>93.9</c:v>
                </c:pt>
                <c:pt idx="124">
                  <c:v>93.8</c:v>
                </c:pt>
                <c:pt idx="125">
                  <c:v>93.8</c:v>
                </c:pt>
                <c:pt idx="126">
                  <c:v>93.8</c:v>
                </c:pt>
                <c:pt idx="127">
                  <c:v>93.8</c:v>
                </c:pt>
                <c:pt idx="128">
                  <c:v>93.9</c:v>
                </c:pt>
                <c:pt idx="129">
                  <c:v>93.8</c:v>
                </c:pt>
                <c:pt idx="130">
                  <c:v>93.7</c:v>
                </c:pt>
                <c:pt idx="131">
                  <c:v>93.7</c:v>
                </c:pt>
                <c:pt idx="132">
                  <c:v>93.6</c:v>
                </c:pt>
                <c:pt idx="133">
                  <c:v>93.4</c:v>
                </c:pt>
                <c:pt idx="134">
                  <c:v>93.6</c:v>
                </c:pt>
                <c:pt idx="135">
                  <c:v>93.7</c:v>
                </c:pt>
                <c:pt idx="136">
                  <c:v>93.7</c:v>
                </c:pt>
                <c:pt idx="137">
                  <c:v>93.8</c:v>
                </c:pt>
                <c:pt idx="138">
                  <c:v>93.7</c:v>
                </c:pt>
                <c:pt idx="139">
                  <c:v>93.7</c:v>
                </c:pt>
                <c:pt idx="140">
                  <c:v>93.7</c:v>
                </c:pt>
                <c:pt idx="141">
                  <c:v>93.6</c:v>
                </c:pt>
                <c:pt idx="142">
                  <c:v>93.7</c:v>
                </c:pt>
                <c:pt idx="143">
                  <c:v>93.8</c:v>
                </c:pt>
                <c:pt idx="144">
                  <c:v>93.7</c:v>
                </c:pt>
                <c:pt idx="145">
                  <c:v>93.7</c:v>
                </c:pt>
                <c:pt idx="146">
                  <c:v>93.6</c:v>
                </c:pt>
                <c:pt idx="147">
                  <c:v>93.6</c:v>
                </c:pt>
                <c:pt idx="148">
                  <c:v>93.6</c:v>
                </c:pt>
                <c:pt idx="149">
                  <c:v>93.7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2-E04A-9A15-2D7FA4E1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484639"/>
        <c:axId val="1580355567"/>
      </c:scatterChart>
      <c:valAx>
        <c:axId val="1577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55567"/>
        <c:crosses val="autoZero"/>
        <c:crossBetween val="midCat"/>
      </c:valAx>
      <c:valAx>
        <c:axId val="15803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</a:t>
                </a:r>
                <a:r>
                  <a:rPr lang="en-US" baseline="0"/>
                  <a:t> Conductivity (us/cm)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4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1</xdr:row>
      <xdr:rowOff>20320</xdr:rowOff>
    </xdr:from>
    <xdr:to>
      <xdr:col>10</xdr:col>
      <xdr:colOff>426720</xdr:colOff>
      <xdr:row>19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3F61B-8750-D840-9BAB-A7104BD8D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35560</xdr:colOff>
      <xdr:row>1</xdr:row>
      <xdr:rowOff>20320</xdr:rowOff>
    </xdr:from>
    <xdr:to>
      <xdr:col>21</xdr:col>
      <xdr:colOff>182880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28DEE-78D5-0A6E-E56E-B6D6E7FF3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ylaemerson/Desktop/Ecuador2022/Injections/InjectionData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ductivity"/>
      <sheetName val="width,depth,velocity"/>
      <sheetName val="upstream flow rate"/>
      <sheetName val="downstream condutivity"/>
      <sheetName val="discharge"/>
    </sheetNames>
    <sheetDataSet>
      <sheetData sheetId="0"/>
      <sheetData sheetId="1"/>
      <sheetData sheetId="2"/>
      <sheetData sheetId="3"/>
      <sheetData sheetId="4">
        <row r="7">
          <cell r="B7">
            <v>0.56527777777777777</v>
          </cell>
          <cell r="C7">
            <v>11.6</v>
          </cell>
        </row>
        <row r="8">
          <cell r="B8">
            <v>0.56597222222222221</v>
          </cell>
          <cell r="C8">
            <v>11.6</v>
          </cell>
        </row>
        <row r="9">
          <cell r="B9">
            <v>0.56666666666666665</v>
          </cell>
          <cell r="C9">
            <v>11.6</v>
          </cell>
        </row>
        <row r="10">
          <cell r="B10">
            <v>0.56736111111111109</v>
          </cell>
          <cell r="C10">
            <v>11.6</v>
          </cell>
        </row>
        <row r="11">
          <cell r="B11">
            <v>0.56805555555555554</v>
          </cell>
          <cell r="C11">
            <v>11.6</v>
          </cell>
        </row>
        <row r="12">
          <cell r="B12">
            <v>0.56874999999999998</v>
          </cell>
          <cell r="C12">
            <v>11.7</v>
          </cell>
        </row>
        <row r="13">
          <cell r="B13">
            <v>0.56944444444444442</v>
          </cell>
          <cell r="C13">
            <v>11.7</v>
          </cell>
        </row>
        <row r="14">
          <cell r="B14">
            <v>0.57013888888888886</v>
          </cell>
          <cell r="C14">
            <v>11.7</v>
          </cell>
        </row>
        <row r="15">
          <cell r="B15">
            <v>0.5708333333333333</v>
          </cell>
          <cell r="C15">
            <v>11.8</v>
          </cell>
        </row>
        <row r="16">
          <cell r="B16">
            <v>0.57152777777777775</v>
          </cell>
          <cell r="C16">
            <v>11.8</v>
          </cell>
        </row>
        <row r="17">
          <cell r="B17">
            <v>0.57222222222222219</v>
          </cell>
          <cell r="C17">
            <v>11.8</v>
          </cell>
        </row>
        <row r="18">
          <cell r="B18">
            <v>0.57291666666666663</v>
          </cell>
          <cell r="C18">
            <v>11.8</v>
          </cell>
        </row>
        <row r="19">
          <cell r="B19">
            <v>0.57361111111111107</v>
          </cell>
          <cell r="C19">
            <v>11.9</v>
          </cell>
        </row>
        <row r="20">
          <cell r="B20">
            <v>0.57430555555555551</v>
          </cell>
          <cell r="C20">
            <v>12</v>
          </cell>
        </row>
        <row r="21">
          <cell r="B21">
            <v>0.57465277777777779</v>
          </cell>
          <cell r="C21">
            <v>12.1</v>
          </cell>
        </row>
        <row r="22">
          <cell r="B22">
            <v>0.57499999999999996</v>
          </cell>
          <cell r="C22">
            <v>12.1</v>
          </cell>
        </row>
        <row r="23">
          <cell r="B23">
            <v>0.57534722222222223</v>
          </cell>
          <cell r="C23">
            <v>12.2</v>
          </cell>
        </row>
        <row r="24">
          <cell r="B24">
            <v>0.5756944444444444</v>
          </cell>
          <cell r="C24">
            <v>12.3</v>
          </cell>
        </row>
        <row r="25">
          <cell r="B25">
            <v>0.57604166666666667</v>
          </cell>
          <cell r="C25">
            <v>12.3</v>
          </cell>
        </row>
        <row r="26">
          <cell r="B26">
            <v>0.57638888888888884</v>
          </cell>
          <cell r="C26">
            <v>12.4</v>
          </cell>
        </row>
        <row r="27">
          <cell r="B27">
            <v>0.57673611111111112</v>
          </cell>
          <cell r="C27">
            <v>12.5</v>
          </cell>
        </row>
        <row r="28">
          <cell r="B28">
            <v>0.57708333333333328</v>
          </cell>
          <cell r="C28">
            <v>12.7</v>
          </cell>
        </row>
        <row r="29">
          <cell r="B29">
            <v>0.57743055555555556</v>
          </cell>
          <cell r="C29">
            <v>12.8</v>
          </cell>
        </row>
        <row r="30">
          <cell r="B30">
            <v>0.57777777777777772</v>
          </cell>
          <cell r="C30">
            <v>13.1</v>
          </cell>
        </row>
        <row r="31">
          <cell r="B31">
            <v>0.578125</v>
          </cell>
          <cell r="C31">
            <v>13.2</v>
          </cell>
        </row>
        <row r="32">
          <cell r="B32">
            <v>0.57847222222222217</v>
          </cell>
          <cell r="C32">
            <v>13.3</v>
          </cell>
        </row>
        <row r="33">
          <cell r="B33">
            <v>0.57881944444444444</v>
          </cell>
          <cell r="C33">
            <v>13.6</v>
          </cell>
        </row>
        <row r="34">
          <cell r="B34">
            <v>0.57916666666666661</v>
          </cell>
          <cell r="C34">
            <v>13.8</v>
          </cell>
        </row>
        <row r="35">
          <cell r="B35">
            <v>0.57951388888888888</v>
          </cell>
          <cell r="C35">
            <v>13.9</v>
          </cell>
        </row>
        <row r="36">
          <cell r="B36">
            <v>0.57986111111111105</v>
          </cell>
          <cell r="C36">
            <v>14.2</v>
          </cell>
        </row>
        <row r="37">
          <cell r="B37">
            <v>0.58020833333333333</v>
          </cell>
          <cell r="C37">
            <v>14.5</v>
          </cell>
        </row>
        <row r="38">
          <cell r="B38">
            <v>0.58055555555555549</v>
          </cell>
          <cell r="C38">
            <v>14.7</v>
          </cell>
        </row>
        <row r="39">
          <cell r="B39">
            <v>0.58090277777777777</v>
          </cell>
          <cell r="C39">
            <v>15</v>
          </cell>
        </row>
        <row r="40">
          <cell r="B40">
            <v>0.58125000000000004</v>
          </cell>
          <cell r="C40">
            <v>15.2</v>
          </cell>
        </row>
        <row r="41">
          <cell r="B41">
            <v>0.58159722222222221</v>
          </cell>
          <cell r="C41">
            <v>15.5</v>
          </cell>
        </row>
        <row r="42">
          <cell r="B42">
            <v>0.58194444444444449</v>
          </cell>
          <cell r="C42">
            <v>15.8</v>
          </cell>
        </row>
        <row r="43">
          <cell r="B43">
            <v>0.58229166666666665</v>
          </cell>
          <cell r="C43">
            <v>16.100000000000001</v>
          </cell>
        </row>
        <row r="44">
          <cell r="B44">
            <v>0.58263888888888893</v>
          </cell>
          <cell r="C44">
            <v>16.3</v>
          </cell>
        </row>
        <row r="45">
          <cell r="B45">
            <v>0.58298611111111109</v>
          </cell>
          <cell r="C45">
            <v>16.5</v>
          </cell>
        </row>
        <row r="46">
          <cell r="B46">
            <v>0.58333333333333337</v>
          </cell>
          <cell r="C46">
            <v>16.8</v>
          </cell>
        </row>
        <row r="47">
          <cell r="B47">
            <v>0.58368055555555554</v>
          </cell>
          <cell r="C47">
            <v>17.100000000000001</v>
          </cell>
        </row>
        <row r="48">
          <cell r="B48">
            <v>0.58402777777777781</v>
          </cell>
        </row>
        <row r="49">
          <cell r="B49">
            <v>0.58437499999999998</v>
          </cell>
          <cell r="C49">
            <v>17.600000000000001</v>
          </cell>
        </row>
        <row r="50">
          <cell r="B50">
            <v>0.58472222222222225</v>
          </cell>
          <cell r="C50">
            <v>17.899999999999999</v>
          </cell>
        </row>
        <row r="51">
          <cell r="B51">
            <v>0.58506944444444442</v>
          </cell>
        </row>
        <row r="52">
          <cell r="B52">
            <v>0.5854166666666667</v>
          </cell>
          <cell r="C52">
            <v>18.399999999999999</v>
          </cell>
        </row>
        <row r="53">
          <cell r="B53">
            <v>0.58576388888888886</v>
          </cell>
          <cell r="C53">
            <v>18.600000000000001</v>
          </cell>
        </row>
        <row r="54">
          <cell r="B54">
            <v>0.58611111111111114</v>
          </cell>
          <cell r="C54">
            <v>18.899999999999999</v>
          </cell>
        </row>
        <row r="55">
          <cell r="B55">
            <v>0.5864583333333333</v>
          </cell>
          <cell r="C55">
            <v>19.100000000000001</v>
          </cell>
        </row>
        <row r="56">
          <cell r="B56">
            <v>0.58680555555555558</v>
          </cell>
          <cell r="C56">
            <v>19.399999999999999</v>
          </cell>
        </row>
        <row r="57">
          <cell r="B57">
            <v>0.58715277777777775</v>
          </cell>
          <cell r="C57">
            <v>19.600000000000001</v>
          </cell>
        </row>
        <row r="58">
          <cell r="B58">
            <v>0.58750000000000002</v>
          </cell>
          <cell r="C58">
            <v>19.899999999999999</v>
          </cell>
        </row>
        <row r="59">
          <cell r="B59">
            <v>0.58784722222222219</v>
          </cell>
          <cell r="C59">
            <v>20.100000000000001</v>
          </cell>
        </row>
        <row r="60">
          <cell r="B60">
            <v>0.58819444444444446</v>
          </cell>
          <cell r="C60">
            <v>20.3</v>
          </cell>
        </row>
        <row r="61">
          <cell r="B61">
            <v>0.58854166666666663</v>
          </cell>
          <cell r="C61">
            <v>20.5</v>
          </cell>
        </row>
        <row r="62">
          <cell r="B62">
            <v>0.58888888888888891</v>
          </cell>
          <cell r="C62">
            <v>20.7</v>
          </cell>
        </row>
        <row r="63">
          <cell r="B63">
            <v>0.58923611111111107</v>
          </cell>
          <cell r="C63">
            <v>20.8</v>
          </cell>
        </row>
        <row r="64">
          <cell r="B64">
            <v>0.58958333333333335</v>
          </cell>
          <cell r="C64">
            <v>21</v>
          </cell>
        </row>
        <row r="65">
          <cell r="B65">
            <v>0.58993055555555551</v>
          </cell>
          <cell r="C65">
            <v>21.2</v>
          </cell>
        </row>
        <row r="66">
          <cell r="B66">
            <v>0.59027777777777779</v>
          </cell>
          <cell r="C66">
            <v>21.3</v>
          </cell>
        </row>
        <row r="67">
          <cell r="B67">
            <v>0.59062499999999996</v>
          </cell>
          <cell r="C67">
            <v>21.5</v>
          </cell>
        </row>
        <row r="68">
          <cell r="B68">
            <v>0.59097222222222223</v>
          </cell>
          <cell r="C68">
            <v>21.6</v>
          </cell>
        </row>
        <row r="69">
          <cell r="B69">
            <v>0.5913194444444444</v>
          </cell>
          <cell r="C69">
            <v>21.8</v>
          </cell>
        </row>
        <row r="70">
          <cell r="B70">
            <v>0.59166666666666667</v>
          </cell>
          <cell r="C70">
            <v>21.9</v>
          </cell>
        </row>
        <row r="71">
          <cell r="B71">
            <v>0.59201388888888884</v>
          </cell>
          <cell r="C71">
            <v>22</v>
          </cell>
        </row>
        <row r="72">
          <cell r="B72">
            <v>0.59236111111111112</v>
          </cell>
          <cell r="C72">
            <v>22.1</v>
          </cell>
        </row>
        <row r="73">
          <cell r="B73">
            <v>0.59270833333333328</v>
          </cell>
          <cell r="C73">
            <v>22.2</v>
          </cell>
        </row>
        <row r="74">
          <cell r="B74">
            <v>0.59305555555555556</v>
          </cell>
          <cell r="C74">
            <v>22.3</v>
          </cell>
        </row>
        <row r="75">
          <cell r="B75">
            <v>0.59340277777777772</v>
          </cell>
          <cell r="C75">
            <v>22.4</v>
          </cell>
        </row>
        <row r="76">
          <cell r="B76">
            <v>0.59375</v>
          </cell>
          <cell r="C76">
            <v>22.7</v>
          </cell>
        </row>
        <row r="77">
          <cell r="B77">
            <v>0.59409722222222217</v>
          </cell>
          <cell r="C77">
            <v>22.8</v>
          </cell>
        </row>
        <row r="78">
          <cell r="B78">
            <v>0.59444444444444444</v>
          </cell>
          <cell r="C78">
            <v>22.8</v>
          </cell>
        </row>
        <row r="79">
          <cell r="B79">
            <v>0.59479166666666661</v>
          </cell>
          <cell r="C79">
            <v>22.9</v>
          </cell>
        </row>
        <row r="80">
          <cell r="B80">
            <v>0.59513888888888888</v>
          </cell>
          <cell r="C80">
            <v>23.1</v>
          </cell>
        </row>
        <row r="81">
          <cell r="B81">
            <v>0.59548611111111105</v>
          </cell>
          <cell r="C81">
            <v>23.1</v>
          </cell>
        </row>
        <row r="82">
          <cell r="B82">
            <v>0.59583333333333333</v>
          </cell>
          <cell r="C82">
            <v>23.3</v>
          </cell>
        </row>
        <row r="83">
          <cell r="B83">
            <v>0.59618055555555549</v>
          </cell>
          <cell r="C83">
            <v>23.4</v>
          </cell>
        </row>
        <row r="84">
          <cell r="B84">
            <v>0.59652777777777777</v>
          </cell>
          <cell r="C84">
            <v>23.4</v>
          </cell>
        </row>
        <row r="85">
          <cell r="B85">
            <v>0.59687500000000004</v>
          </cell>
          <cell r="C85">
            <v>23.6</v>
          </cell>
        </row>
        <row r="86">
          <cell r="B86">
            <v>0.59722222222222221</v>
          </cell>
          <cell r="C86">
            <v>23.7</v>
          </cell>
        </row>
        <row r="87">
          <cell r="B87">
            <v>0.59756944444444449</v>
          </cell>
          <cell r="C87">
            <v>23.8</v>
          </cell>
        </row>
        <row r="88">
          <cell r="B88">
            <v>0.59791666666666665</v>
          </cell>
          <cell r="C88">
            <v>23.9</v>
          </cell>
        </row>
        <row r="89">
          <cell r="B89">
            <v>0.59826388888888893</v>
          </cell>
          <cell r="C89">
            <v>24</v>
          </cell>
        </row>
        <row r="90">
          <cell r="B90">
            <v>0.59861111111111109</v>
          </cell>
          <cell r="C90">
            <v>24.1</v>
          </cell>
        </row>
        <row r="91">
          <cell r="B91">
            <v>0.59895833333333337</v>
          </cell>
          <cell r="C91">
            <v>24.2</v>
          </cell>
        </row>
        <row r="92">
          <cell r="B92">
            <v>0.59930555555555554</v>
          </cell>
          <cell r="C92">
            <v>24.3</v>
          </cell>
        </row>
        <row r="93">
          <cell r="B93">
            <v>0.59965277777777781</v>
          </cell>
          <cell r="C93">
            <v>24.4</v>
          </cell>
        </row>
        <row r="94">
          <cell r="B94">
            <v>0.6</v>
          </cell>
          <cell r="C94">
            <v>24.5</v>
          </cell>
        </row>
        <row r="95">
          <cell r="B95">
            <v>0.60034722222222225</v>
          </cell>
          <cell r="C95">
            <v>24.6</v>
          </cell>
        </row>
        <row r="96">
          <cell r="B96">
            <v>0.60069444444444442</v>
          </cell>
          <cell r="C96">
            <v>24.7</v>
          </cell>
        </row>
        <row r="97">
          <cell r="B97">
            <v>0.6010416666666667</v>
          </cell>
          <cell r="C97">
            <v>24.8</v>
          </cell>
        </row>
        <row r="98">
          <cell r="B98">
            <v>0.60138888888888886</v>
          </cell>
          <cell r="C98">
            <v>24.8</v>
          </cell>
        </row>
        <row r="99">
          <cell r="B99">
            <v>0.60173611111111114</v>
          </cell>
          <cell r="C99">
            <v>24.9</v>
          </cell>
        </row>
        <row r="100">
          <cell r="B100">
            <v>0.6020833333333333</v>
          </cell>
          <cell r="C100">
            <v>25</v>
          </cell>
        </row>
        <row r="101">
          <cell r="B101">
            <v>0.60243055555555558</v>
          </cell>
          <cell r="C101">
            <v>25</v>
          </cell>
        </row>
        <row r="102">
          <cell r="B102">
            <v>0.60277777777777775</v>
          </cell>
          <cell r="C102">
            <v>25.1</v>
          </cell>
        </row>
        <row r="103">
          <cell r="B103">
            <v>0.60312500000000002</v>
          </cell>
          <cell r="C103">
            <v>25.1</v>
          </cell>
        </row>
        <row r="104">
          <cell r="B104">
            <v>0.60347222222222219</v>
          </cell>
          <cell r="C104">
            <v>25.2</v>
          </cell>
        </row>
        <row r="105">
          <cell r="B105">
            <v>0.60381944444444446</v>
          </cell>
          <cell r="C105">
            <v>25.3</v>
          </cell>
        </row>
        <row r="106">
          <cell r="B106">
            <v>0.60416666666666663</v>
          </cell>
          <cell r="C106">
            <v>25.2</v>
          </cell>
        </row>
        <row r="107">
          <cell r="B107">
            <v>0.60451388888888891</v>
          </cell>
          <cell r="C107">
            <v>25.3</v>
          </cell>
        </row>
        <row r="108">
          <cell r="B108">
            <v>0.60486111111111107</v>
          </cell>
          <cell r="C108">
            <v>25.3</v>
          </cell>
        </row>
        <row r="109">
          <cell r="B109">
            <v>0.60520833333333335</v>
          </cell>
          <cell r="C109">
            <v>25.3</v>
          </cell>
        </row>
        <row r="112">
          <cell r="B112">
            <v>0.62083333333333335</v>
          </cell>
          <cell r="C112">
            <v>25.7</v>
          </cell>
        </row>
        <row r="113">
          <cell r="B113">
            <v>0.62152777777777779</v>
          </cell>
          <cell r="C113">
            <v>25.8</v>
          </cell>
        </row>
        <row r="114">
          <cell r="B114">
            <v>0.62222222222222223</v>
          </cell>
          <cell r="C114">
            <v>25.9</v>
          </cell>
        </row>
        <row r="115">
          <cell r="B115">
            <v>0.62291666666666667</v>
          </cell>
          <cell r="C115">
            <v>26</v>
          </cell>
        </row>
        <row r="116">
          <cell r="B116">
            <v>0.62361111111111112</v>
          </cell>
          <cell r="C116">
            <v>26.1</v>
          </cell>
        </row>
        <row r="117">
          <cell r="B117">
            <v>0.62430555555555556</v>
          </cell>
          <cell r="C117">
            <v>26.2</v>
          </cell>
        </row>
        <row r="118">
          <cell r="B118">
            <v>0.625</v>
          </cell>
          <cell r="C118">
            <v>26.2</v>
          </cell>
        </row>
        <row r="119">
          <cell r="B119">
            <v>0.62569444444444444</v>
          </cell>
          <cell r="C119">
            <v>26.3</v>
          </cell>
        </row>
        <row r="120">
          <cell r="B120">
            <v>0.62638888888888888</v>
          </cell>
          <cell r="C120">
            <v>26.4</v>
          </cell>
        </row>
        <row r="121">
          <cell r="B121">
            <v>0.62708333333333333</v>
          </cell>
          <cell r="C121">
            <v>26.5</v>
          </cell>
        </row>
        <row r="122">
          <cell r="B122">
            <v>0.62777777777777777</v>
          </cell>
          <cell r="C122">
            <v>26.5</v>
          </cell>
        </row>
        <row r="123">
          <cell r="B123">
            <v>0.62847222222222221</v>
          </cell>
          <cell r="C123">
            <v>26.5</v>
          </cell>
        </row>
        <row r="124">
          <cell r="B124">
            <v>0.62916666666666665</v>
          </cell>
          <cell r="C124">
            <v>26.5</v>
          </cell>
        </row>
        <row r="125">
          <cell r="B125">
            <v>0.62986111111111109</v>
          </cell>
          <cell r="C125">
            <v>26.5</v>
          </cell>
        </row>
        <row r="126">
          <cell r="B126">
            <v>0.63055555555555554</v>
          </cell>
          <cell r="C126">
            <v>26.4</v>
          </cell>
        </row>
        <row r="127">
          <cell r="B127">
            <v>0.63124999999999998</v>
          </cell>
          <cell r="C127">
            <v>26.3</v>
          </cell>
        </row>
        <row r="128">
          <cell r="B128">
            <v>0.63194444444444442</v>
          </cell>
          <cell r="C128">
            <v>26</v>
          </cell>
        </row>
        <row r="129">
          <cell r="B129">
            <v>0.63263888888888886</v>
          </cell>
          <cell r="C129">
            <v>25.7</v>
          </cell>
        </row>
        <row r="130">
          <cell r="B130">
            <v>0.63298611111111114</v>
          </cell>
          <cell r="C130">
            <v>25.6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7194-9FCA-3141-977B-BF8A962B0C24}">
  <dimension ref="A1:G34"/>
  <sheetViews>
    <sheetView tabSelected="1" topLeftCell="A10" workbookViewId="0">
      <selection activeCell="I25" sqref="I25"/>
    </sheetView>
  </sheetViews>
  <sheetFormatPr baseColWidth="10" defaultRowHeight="16" x14ac:dyDescent="0.2"/>
  <cols>
    <col min="1" max="1" width="27.5" customWidth="1"/>
    <col min="2" max="2" width="22.6640625" customWidth="1"/>
    <col min="3" max="3" width="13.6640625" customWidth="1"/>
    <col min="4" max="4" width="18.83203125" customWidth="1"/>
    <col min="5" max="5" width="16" customWidth="1"/>
  </cols>
  <sheetData>
    <row r="1" spans="1:3" x14ac:dyDescent="0.2">
      <c r="A1" t="s">
        <v>14</v>
      </c>
      <c r="B1" s="7">
        <v>44743</v>
      </c>
    </row>
    <row r="2" spans="1:3" x14ac:dyDescent="0.2">
      <c r="A2" t="s">
        <v>15</v>
      </c>
      <c r="B2" t="s">
        <v>64</v>
      </c>
    </row>
    <row r="3" spans="1:3" x14ac:dyDescent="0.2">
      <c r="A3" t="s">
        <v>16</v>
      </c>
      <c r="B3" s="8">
        <v>0.46319444444444446</v>
      </c>
    </row>
    <row r="4" spans="1:3" x14ac:dyDescent="0.2">
      <c r="A4" t="s">
        <v>17</v>
      </c>
      <c r="B4" s="8">
        <v>0.53194444444444444</v>
      </c>
    </row>
    <row r="5" spans="1:3" x14ac:dyDescent="0.2">
      <c r="A5" t="s">
        <v>65</v>
      </c>
      <c r="B5" s="8">
        <v>0.50277777777777777</v>
      </c>
    </row>
    <row r="6" spans="1:3" x14ac:dyDescent="0.2">
      <c r="A6" t="s">
        <v>66</v>
      </c>
      <c r="B6" s="8">
        <v>0.53055555555555556</v>
      </c>
    </row>
    <row r="7" spans="1:3" x14ac:dyDescent="0.2">
      <c r="B7" s="8"/>
    </row>
    <row r="8" spans="1:3" x14ac:dyDescent="0.2">
      <c r="A8" s="3" t="s">
        <v>18</v>
      </c>
      <c r="C8" s="3" t="s">
        <v>19</v>
      </c>
    </row>
    <row r="9" spans="1:3" x14ac:dyDescent="0.2">
      <c r="A9" t="s">
        <v>20</v>
      </c>
      <c r="B9" s="9"/>
      <c r="C9" t="s">
        <v>21</v>
      </c>
    </row>
    <row r="10" spans="1:3" x14ac:dyDescent="0.2">
      <c r="A10" t="s">
        <v>22</v>
      </c>
      <c r="B10" s="9">
        <f>237</f>
        <v>237</v>
      </c>
      <c r="C10" t="s">
        <v>2</v>
      </c>
    </row>
    <row r="11" spans="1:3" x14ac:dyDescent="0.2">
      <c r="A11" t="s">
        <v>23</v>
      </c>
      <c r="B11" s="9">
        <v>1.5</v>
      </c>
      <c r="C11" t="s">
        <v>21</v>
      </c>
    </row>
    <row r="12" spans="1:3" x14ac:dyDescent="0.2">
      <c r="A12" t="s">
        <v>1</v>
      </c>
      <c r="B12" s="2" t="e">
        <f>B10*B11/B9</f>
        <v>#DIV/0!</v>
      </c>
      <c r="C12" t="s">
        <v>2</v>
      </c>
    </row>
    <row r="13" spans="1:3" x14ac:dyDescent="0.2">
      <c r="A13" t="s">
        <v>3</v>
      </c>
      <c r="C13" t="s">
        <v>4</v>
      </c>
    </row>
    <row r="14" spans="1:3" x14ac:dyDescent="0.2">
      <c r="A14" t="s">
        <v>5</v>
      </c>
      <c r="C14" t="s">
        <v>6</v>
      </c>
    </row>
    <row r="15" spans="1:3" x14ac:dyDescent="0.2">
      <c r="A15" t="s">
        <v>7</v>
      </c>
      <c r="C15" t="s">
        <v>4</v>
      </c>
    </row>
    <row r="18" spans="1:7" x14ac:dyDescent="0.2">
      <c r="A18" s="3" t="s">
        <v>24</v>
      </c>
    </row>
    <row r="19" spans="1:7" x14ac:dyDescent="0.2">
      <c r="B19" t="s">
        <v>25</v>
      </c>
      <c r="C19" t="s">
        <v>26</v>
      </c>
      <c r="D19" t="s">
        <v>27</v>
      </c>
      <c r="E19" t="s">
        <v>28</v>
      </c>
      <c r="F19" t="s">
        <v>29</v>
      </c>
      <c r="G19" t="s">
        <v>80</v>
      </c>
    </row>
    <row r="20" spans="1:7" x14ac:dyDescent="0.2">
      <c r="A20" t="s">
        <v>30</v>
      </c>
      <c r="B20" t="s">
        <v>11</v>
      </c>
      <c r="C20" t="s">
        <v>70</v>
      </c>
      <c r="E20" t="s">
        <v>11</v>
      </c>
      <c r="F20" t="s">
        <v>11</v>
      </c>
      <c r="G20" t="s">
        <v>11</v>
      </c>
    </row>
    <row r="21" spans="1:7" x14ac:dyDescent="0.2">
      <c r="A21" t="s">
        <v>31</v>
      </c>
      <c r="C21" t="s">
        <v>71</v>
      </c>
      <c r="D21" t="s">
        <v>11</v>
      </c>
    </row>
    <row r="22" spans="1:7" x14ac:dyDescent="0.2">
      <c r="A22" t="s">
        <v>67</v>
      </c>
      <c r="C22" t="s">
        <v>72</v>
      </c>
      <c r="D22" t="s">
        <v>11</v>
      </c>
    </row>
    <row r="23" spans="1:7" x14ac:dyDescent="0.2">
      <c r="A23" t="s">
        <v>32</v>
      </c>
      <c r="C23" t="s">
        <v>73</v>
      </c>
      <c r="D23" t="s">
        <v>11</v>
      </c>
      <c r="G23" t="s">
        <v>11</v>
      </c>
    </row>
    <row r="25" spans="1:7" x14ac:dyDescent="0.2">
      <c r="A25" s="15" t="s">
        <v>68</v>
      </c>
    </row>
    <row r="26" spans="1:7" x14ac:dyDescent="0.2">
      <c r="A26" t="s">
        <v>52</v>
      </c>
      <c r="B26" t="s">
        <v>50</v>
      </c>
    </row>
    <row r="27" spans="1:7" x14ac:dyDescent="0.2">
      <c r="A27" t="s">
        <v>75</v>
      </c>
      <c r="B27" t="s">
        <v>74</v>
      </c>
    </row>
    <row r="28" spans="1:7" x14ac:dyDescent="0.2">
      <c r="A28" t="s">
        <v>76</v>
      </c>
      <c r="B28" t="s">
        <v>74</v>
      </c>
    </row>
    <row r="29" spans="1:7" x14ac:dyDescent="0.2">
      <c r="A29" s="15" t="s">
        <v>69</v>
      </c>
    </row>
    <row r="30" spans="1:7" x14ac:dyDescent="0.2">
      <c r="A30" t="s">
        <v>77</v>
      </c>
      <c r="B30" t="s">
        <v>50</v>
      </c>
      <c r="C30" t="s">
        <v>52</v>
      </c>
    </row>
    <row r="31" spans="1:7" x14ac:dyDescent="0.2">
      <c r="A31">
        <v>106</v>
      </c>
      <c r="B31" t="s">
        <v>78</v>
      </c>
      <c r="C31" s="8">
        <v>0.3972222222222222</v>
      </c>
    </row>
    <row r="32" spans="1:7" x14ac:dyDescent="0.2">
      <c r="A32">
        <v>133</v>
      </c>
      <c r="B32" t="s">
        <v>78</v>
      </c>
      <c r="C32" s="8">
        <v>0.3979166666666667</v>
      </c>
    </row>
    <row r="33" spans="1:3" x14ac:dyDescent="0.2">
      <c r="A33">
        <v>86</v>
      </c>
      <c r="B33" t="s">
        <v>79</v>
      </c>
      <c r="C33" s="8">
        <v>0.40625</v>
      </c>
    </row>
    <row r="34" spans="1:3" x14ac:dyDescent="0.2">
      <c r="A34">
        <v>100</v>
      </c>
      <c r="B34" t="s">
        <v>79</v>
      </c>
      <c r="C34" s="8">
        <v>0.40625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0B67-0205-B148-859C-7390B46EFCE3}">
  <dimension ref="A1:F22"/>
  <sheetViews>
    <sheetView workbookViewId="0">
      <selection activeCell="B7" sqref="B7"/>
    </sheetView>
  </sheetViews>
  <sheetFormatPr baseColWidth="10" defaultRowHeight="16" x14ac:dyDescent="0.2"/>
  <cols>
    <col min="1" max="1" width="38.33203125" customWidth="1"/>
    <col min="2" max="2" width="25.6640625" customWidth="1"/>
    <col min="4" max="4" width="26.83203125" customWidth="1"/>
  </cols>
  <sheetData>
    <row r="1" spans="1:6" ht="19" x14ac:dyDescent="0.2">
      <c r="A1" s="1" t="s">
        <v>0</v>
      </c>
    </row>
    <row r="2" spans="1:6" x14ac:dyDescent="0.2">
      <c r="A2" t="s">
        <v>1</v>
      </c>
      <c r="B2" s="2">
        <v>237</v>
      </c>
      <c r="C2" t="s">
        <v>2</v>
      </c>
      <c r="D2" s="3"/>
    </row>
    <row r="3" spans="1:6" x14ac:dyDescent="0.2">
      <c r="A3" t="s">
        <v>3</v>
      </c>
      <c r="C3" t="s">
        <v>4</v>
      </c>
    </row>
    <row r="4" spans="1:6" x14ac:dyDescent="0.2">
      <c r="A4" t="s">
        <v>5</v>
      </c>
      <c r="C4" t="s">
        <v>6</v>
      </c>
    </row>
    <row r="5" spans="1:6" x14ac:dyDescent="0.2">
      <c r="A5" t="s">
        <v>7</v>
      </c>
      <c r="C5" t="s">
        <v>4</v>
      </c>
    </row>
    <row r="10" spans="1:6" x14ac:dyDescent="0.2">
      <c r="A10" s="4"/>
      <c r="B10" s="3" t="s">
        <v>8</v>
      </c>
      <c r="D10" s="5" t="s">
        <v>9</v>
      </c>
      <c r="F10" s="5" t="s">
        <v>10</v>
      </c>
    </row>
    <row r="11" spans="1:6" x14ac:dyDescent="0.2">
      <c r="A11" s="4" t="s">
        <v>11</v>
      </c>
      <c r="B11" t="s">
        <v>12</v>
      </c>
      <c r="C11" t="s">
        <v>13</v>
      </c>
      <c r="D11" s="6" t="s">
        <v>12</v>
      </c>
      <c r="E11" t="s">
        <v>13</v>
      </c>
      <c r="F11" s="6"/>
    </row>
    <row r="12" spans="1:6" x14ac:dyDescent="0.2">
      <c r="A12" s="4">
        <v>0</v>
      </c>
      <c r="B12">
        <v>93.8</v>
      </c>
      <c r="C12">
        <v>7.6</v>
      </c>
      <c r="D12" s="6"/>
      <c r="F12">
        <v>7.6230000000000006E-2</v>
      </c>
    </row>
    <row r="13" spans="1:6" x14ac:dyDescent="0.2">
      <c r="A13" s="4">
        <v>5</v>
      </c>
      <c r="D13" s="6"/>
      <c r="F13" s="6"/>
    </row>
    <row r="14" spans="1:6" x14ac:dyDescent="0.2">
      <c r="A14" s="4">
        <v>10</v>
      </c>
      <c r="B14">
        <v>93.9</v>
      </c>
      <c r="C14">
        <v>7.3</v>
      </c>
      <c r="D14" s="6"/>
      <c r="F14" s="6"/>
    </row>
    <row r="15" spans="1:6" x14ac:dyDescent="0.2">
      <c r="A15" s="4">
        <v>15</v>
      </c>
      <c r="D15" s="6"/>
      <c r="F15" s="6"/>
    </row>
    <row r="16" spans="1:6" x14ac:dyDescent="0.2">
      <c r="A16" s="4">
        <v>20</v>
      </c>
      <c r="B16">
        <v>93.7</v>
      </c>
      <c r="C16">
        <v>7.1</v>
      </c>
      <c r="D16" s="6"/>
      <c r="F16" s="6"/>
    </row>
    <row r="17" spans="1:6" x14ac:dyDescent="0.2">
      <c r="A17" s="4">
        <v>25</v>
      </c>
      <c r="D17" s="6"/>
      <c r="F17" s="6"/>
    </row>
    <row r="18" spans="1:6" x14ac:dyDescent="0.2">
      <c r="A18" s="4">
        <v>30</v>
      </c>
      <c r="B18">
        <v>94.6</v>
      </c>
      <c r="C18">
        <v>7.1</v>
      </c>
      <c r="D18" s="6"/>
      <c r="F18" s="6"/>
    </row>
    <row r="19" spans="1:6" x14ac:dyDescent="0.2">
      <c r="A19" s="4">
        <v>35</v>
      </c>
      <c r="D19" s="6"/>
      <c r="F19" s="6"/>
    </row>
    <row r="20" spans="1:6" x14ac:dyDescent="0.2">
      <c r="A20" s="4">
        <v>40</v>
      </c>
      <c r="B20">
        <v>94</v>
      </c>
      <c r="C20">
        <v>6.9</v>
      </c>
      <c r="D20" s="6"/>
      <c r="F20" s="6"/>
    </row>
    <row r="21" spans="1:6" x14ac:dyDescent="0.2">
      <c r="A21" s="4">
        <v>45</v>
      </c>
      <c r="B21">
        <v>93.9</v>
      </c>
      <c r="C21">
        <v>6.8</v>
      </c>
      <c r="D21" s="6"/>
      <c r="F21" s="6"/>
    </row>
    <row r="22" spans="1:6" x14ac:dyDescent="0.2">
      <c r="A22" s="4">
        <v>50</v>
      </c>
      <c r="B22">
        <v>94</v>
      </c>
      <c r="C22">
        <v>6.7</v>
      </c>
      <c r="D22" s="6"/>
      <c r="F22">
        <v>9.0884999999999994E-2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34CE-ACDC-AE46-AD41-48E684BFDE74}">
  <dimension ref="A1:L14"/>
  <sheetViews>
    <sheetView workbookViewId="0">
      <selection activeCell="J17" sqref="J17"/>
    </sheetView>
  </sheetViews>
  <sheetFormatPr baseColWidth="10" defaultRowHeight="16" x14ac:dyDescent="0.2"/>
  <sheetData>
    <row r="1" spans="1:12" ht="26" x14ac:dyDescent="0.3">
      <c r="A1" s="10" t="s">
        <v>33</v>
      </c>
      <c r="B1" s="10"/>
      <c r="C1" s="10"/>
      <c r="D1" s="11"/>
    </row>
    <row r="2" spans="1:12" x14ac:dyDescent="0.2">
      <c r="A2" s="3" t="s">
        <v>11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" t="s">
        <v>39</v>
      </c>
      <c r="H2" s="3" t="s">
        <v>40</v>
      </c>
      <c r="I2" s="3" t="s">
        <v>41</v>
      </c>
      <c r="J2" s="3" t="s">
        <v>42</v>
      </c>
      <c r="K2" s="3"/>
      <c r="L2" s="3" t="s">
        <v>43</v>
      </c>
    </row>
    <row r="3" spans="1:12" x14ac:dyDescent="0.2">
      <c r="A3" t="s">
        <v>62</v>
      </c>
      <c r="B3" t="s">
        <v>63</v>
      </c>
    </row>
    <row r="4" spans="1:12" x14ac:dyDescent="0.2">
      <c r="A4">
        <v>0</v>
      </c>
      <c r="B4">
        <v>245</v>
      </c>
      <c r="C4">
        <v>4</v>
      </c>
      <c r="D4">
        <v>50</v>
      </c>
      <c r="E4">
        <v>50</v>
      </c>
      <c r="F4">
        <v>44</v>
      </c>
      <c r="G4">
        <v>38</v>
      </c>
      <c r="H4">
        <v>28</v>
      </c>
      <c r="I4">
        <v>16</v>
      </c>
      <c r="J4">
        <v>0.18</v>
      </c>
    </row>
    <row r="5" spans="1:12" x14ac:dyDescent="0.2">
      <c r="A5">
        <v>5</v>
      </c>
      <c r="B5">
        <v>200</v>
      </c>
      <c r="C5">
        <v>20</v>
      </c>
      <c r="D5">
        <v>18</v>
      </c>
      <c r="E5">
        <v>56</v>
      </c>
      <c r="F5">
        <v>34</v>
      </c>
      <c r="G5">
        <v>18</v>
      </c>
      <c r="H5">
        <v>12</v>
      </c>
      <c r="J5">
        <v>7.0000000000000007E-2</v>
      </c>
    </row>
    <row r="6" spans="1:12" x14ac:dyDescent="0.2">
      <c r="A6">
        <v>10</v>
      </c>
      <c r="B6">
        <v>120</v>
      </c>
      <c r="C6">
        <v>76</v>
      </c>
      <c r="D6">
        <v>66</v>
      </c>
      <c r="E6">
        <v>60</v>
      </c>
      <c r="F6">
        <v>54</v>
      </c>
      <c r="G6">
        <v>42</v>
      </c>
      <c r="J6">
        <v>0.06</v>
      </c>
    </row>
    <row r="7" spans="1:12" x14ac:dyDescent="0.2">
      <c r="A7">
        <v>15</v>
      </c>
      <c r="B7">
        <v>160</v>
      </c>
      <c r="C7">
        <v>62</v>
      </c>
      <c r="D7">
        <v>54</v>
      </c>
      <c r="E7">
        <v>60</v>
      </c>
      <c r="F7">
        <v>42</v>
      </c>
      <c r="G7">
        <v>20</v>
      </c>
      <c r="J7">
        <v>0.12</v>
      </c>
    </row>
    <row r="8" spans="1:12" x14ac:dyDescent="0.2">
      <c r="A8">
        <v>20</v>
      </c>
      <c r="B8">
        <v>110</v>
      </c>
      <c r="C8">
        <v>20</v>
      </c>
      <c r="D8">
        <v>24</v>
      </c>
      <c r="E8">
        <v>32</v>
      </c>
      <c r="F8">
        <v>30</v>
      </c>
      <c r="G8">
        <v>22</v>
      </c>
      <c r="J8">
        <v>0.3</v>
      </c>
    </row>
    <row r="9" spans="1:12" x14ac:dyDescent="0.2">
      <c r="A9">
        <v>25</v>
      </c>
      <c r="B9">
        <v>105</v>
      </c>
      <c r="C9">
        <v>41</v>
      </c>
      <c r="D9">
        <v>52</v>
      </c>
      <c r="E9">
        <v>51</v>
      </c>
      <c r="F9">
        <v>44</v>
      </c>
      <c r="G9">
        <v>20</v>
      </c>
      <c r="J9">
        <v>0.28999999999999998</v>
      </c>
    </row>
    <row r="10" spans="1:12" x14ac:dyDescent="0.2">
      <c r="A10">
        <v>30</v>
      </c>
      <c r="B10">
        <v>140</v>
      </c>
      <c r="C10">
        <v>24</v>
      </c>
      <c r="D10">
        <v>23</v>
      </c>
      <c r="E10">
        <v>16</v>
      </c>
      <c r="F10">
        <v>20</v>
      </c>
      <c r="G10">
        <v>40</v>
      </c>
      <c r="H10">
        <v>46</v>
      </c>
      <c r="J10">
        <v>0.19</v>
      </c>
    </row>
    <row r="11" spans="1:12" x14ac:dyDescent="0.2">
      <c r="A11">
        <v>35</v>
      </c>
      <c r="B11">
        <v>40</v>
      </c>
      <c r="C11">
        <v>46</v>
      </c>
      <c r="D11">
        <v>40</v>
      </c>
      <c r="E11">
        <v>40</v>
      </c>
      <c r="F11">
        <v>48</v>
      </c>
      <c r="G11">
        <v>42</v>
      </c>
      <c r="J11">
        <v>0.45</v>
      </c>
    </row>
    <row r="12" spans="1:12" x14ac:dyDescent="0.2">
      <c r="A12">
        <v>40</v>
      </c>
      <c r="B12">
        <v>110</v>
      </c>
      <c r="C12">
        <v>20</v>
      </c>
      <c r="D12">
        <v>23</v>
      </c>
      <c r="E12">
        <v>20</v>
      </c>
      <c r="F12">
        <v>22</v>
      </c>
      <c r="G12">
        <v>26</v>
      </c>
      <c r="H12">
        <v>28</v>
      </c>
      <c r="J12">
        <v>0.31</v>
      </c>
    </row>
    <row r="13" spans="1:12" x14ac:dyDescent="0.2">
      <c r="A13">
        <v>45</v>
      </c>
      <c r="B13">
        <v>120</v>
      </c>
      <c r="C13">
        <v>32</v>
      </c>
      <c r="D13">
        <v>33</v>
      </c>
      <c r="E13">
        <v>52</v>
      </c>
      <c r="F13">
        <v>30</v>
      </c>
      <c r="G13">
        <v>22</v>
      </c>
      <c r="H13">
        <v>14</v>
      </c>
      <c r="J13">
        <v>0.47</v>
      </c>
    </row>
    <row r="14" spans="1:12" x14ac:dyDescent="0.2">
      <c r="A14">
        <v>50</v>
      </c>
      <c r="B14">
        <v>135</v>
      </c>
      <c r="C14">
        <v>40</v>
      </c>
      <c r="D14">
        <v>38</v>
      </c>
      <c r="E14">
        <v>30</v>
      </c>
      <c r="F14">
        <v>40</v>
      </c>
      <c r="G14">
        <v>42</v>
      </c>
      <c r="H14">
        <v>38</v>
      </c>
      <c r="I14">
        <v>34</v>
      </c>
      <c r="J14">
        <v>0.32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0440-4AD1-C640-864D-DDF6DB6C99E0}">
  <dimension ref="A1:N191"/>
  <sheetViews>
    <sheetView topLeftCell="B1" zoomScale="125" workbookViewId="0">
      <selection activeCell="J25" sqref="J25"/>
    </sheetView>
  </sheetViews>
  <sheetFormatPr baseColWidth="10" defaultRowHeight="16" x14ac:dyDescent="0.2"/>
  <cols>
    <col min="1" max="1" width="34.5" customWidth="1"/>
    <col min="2" max="2" width="24.1640625" customWidth="1"/>
    <col min="3" max="3" width="22" customWidth="1"/>
    <col min="12" max="12" width="32.33203125" customWidth="1"/>
    <col min="13" max="13" width="22.1640625" customWidth="1"/>
    <col min="14" max="14" width="21.6640625" customWidth="1"/>
  </cols>
  <sheetData>
    <row r="1" spans="1:14" x14ac:dyDescent="0.2">
      <c r="A1" s="12" t="s">
        <v>44</v>
      </c>
    </row>
    <row r="2" spans="1:14" x14ac:dyDescent="0.2">
      <c r="A2" t="s">
        <v>59</v>
      </c>
      <c r="L2" t="s">
        <v>60</v>
      </c>
    </row>
    <row r="3" spans="1:14" x14ac:dyDescent="0.2">
      <c r="A3" s="3" t="s">
        <v>45</v>
      </c>
      <c r="B3" s="13">
        <v>0.50277777777777777</v>
      </c>
      <c r="L3" s="3" t="s">
        <v>45</v>
      </c>
      <c r="M3" s="13">
        <v>0.53055555555555556</v>
      </c>
    </row>
    <row r="4" spans="1:14" x14ac:dyDescent="0.2">
      <c r="A4" s="3" t="s">
        <v>46</v>
      </c>
      <c r="B4" s="13">
        <v>0.50763888888888886</v>
      </c>
      <c r="C4" t="s">
        <v>61</v>
      </c>
      <c r="L4" s="3" t="s">
        <v>46</v>
      </c>
      <c r="M4" s="13"/>
    </row>
    <row r="5" spans="1:14" x14ac:dyDescent="0.2">
      <c r="A5" s="3"/>
      <c r="B5" s="13"/>
      <c r="L5" s="3"/>
      <c r="M5" s="13"/>
    </row>
    <row r="6" spans="1:14" x14ac:dyDescent="0.2">
      <c r="A6" t="s">
        <v>47</v>
      </c>
      <c r="B6" t="s">
        <v>48</v>
      </c>
      <c r="C6" t="s">
        <v>49</v>
      </c>
      <c r="L6" t="s">
        <v>47</v>
      </c>
      <c r="M6" t="s">
        <v>48</v>
      </c>
      <c r="N6" t="s">
        <v>49</v>
      </c>
    </row>
    <row r="7" spans="1:14" x14ac:dyDescent="0.2">
      <c r="A7">
        <v>0.5</v>
      </c>
      <c r="B7" s="8">
        <f>$B$3+A7/24/60</f>
        <v>0.50312500000000004</v>
      </c>
      <c r="C7">
        <v>93.8</v>
      </c>
      <c r="L7">
        <v>0.5</v>
      </c>
      <c r="M7" s="8">
        <f>$M$3+L7/24/60</f>
        <v>0.53090277777777783</v>
      </c>
      <c r="N7">
        <v>93.7</v>
      </c>
    </row>
    <row r="8" spans="1:14" x14ac:dyDescent="0.2">
      <c r="A8">
        <v>1</v>
      </c>
      <c r="B8" s="8">
        <f>$B$3+A8/24/60</f>
        <v>0.50347222222222221</v>
      </c>
      <c r="C8">
        <v>93.7</v>
      </c>
      <c r="L8">
        <v>1</v>
      </c>
      <c r="M8" s="8">
        <f t="shared" ref="M8:M71" si="0">$M$3+L8/24/60</f>
        <v>0.53125</v>
      </c>
      <c r="N8">
        <v>93.6</v>
      </c>
    </row>
    <row r="9" spans="1:14" x14ac:dyDescent="0.2">
      <c r="A9">
        <v>1.5</v>
      </c>
      <c r="B9" s="8">
        <f>$B$3+A9/24/60</f>
        <v>0.50381944444444449</v>
      </c>
      <c r="C9">
        <v>93.6</v>
      </c>
      <c r="L9">
        <v>1.5</v>
      </c>
      <c r="M9" s="8">
        <f t="shared" si="0"/>
        <v>0.53159722222222228</v>
      </c>
      <c r="N9">
        <v>93.8</v>
      </c>
    </row>
    <row r="10" spans="1:14" x14ac:dyDescent="0.2">
      <c r="A10">
        <v>2</v>
      </c>
      <c r="B10" s="8">
        <f>$B$3+A10/24/60</f>
        <v>0.50416666666666665</v>
      </c>
      <c r="C10">
        <v>93.6</v>
      </c>
      <c r="L10">
        <v>2</v>
      </c>
      <c r="M10" s="8">
        <f t="shared" si="0"/>
        <v>0.53194444444444444</v>
      </c>
      <c r="N10">
        <v>93.7</v>
      </c>
    </row>
    <row r="11" spans="1:14" x14ac:dyDescent="0.2">
      <c r="A11">
        <f>A10+0.5</f>
        <v>2.5</v>
      </c>
      <c r="B11" s="8">
        <f t="shared" ref="B11:B74" si="1">$B$3+A11/24/60</f>
        <v>0.50451388888888893</v>
      </c>
      <c r="C11">
        <v>93.6</v>
      </c>
      <c r="L11">
        <f>L10+0.5</f>
        <v>2.5</v>
      </c>
      <c r="M11" s="8">
        <f t="shared" si="0"/>
        <v>0.53229166666666672</v>
      </c>
      <c r="N11">
        <v>93.6</v>
      </c>
    </row>
    <row r="12" spans="1:14" x14ac:dyDescent="0.2">
      <c r="A12">
        <f t="shared" ref="A12:A17" si="2">A11+0.5</f>
        <v>3</v>
      </c>
      <c r="B12" s="8">
        <f t="shared" si="1"/>
        <v>0.50486111111111109</v>
      </c>
      <c r="C12">
        <v>93.6</v>
      </c>
      <c r="L12">
        <f t="shared" ref="L12:L17" si="3">L11+0.5</f>
        <v>3</v>
      </c>
      <c r="M12" s="8">
        <f t="shared" si="0"/>
        <v>0.53263888888888888</v>
      </c>
      <c r="N12">
        <v>93.6</v>
      </c>
    </row>
    <row r="13" spans="1:14" x14ac:dyDescent="0.2">
      <c r="A13">
        <f t="shared" si="2"/>
        <v>3.5</v>
      </c>
      <c r="B13" s="8">
        <f t="shared" si="1"/>
        <v>0.50520833333333337</v>
      </c>
      <c r="C13">
        <v>93.6</v>
      </c>
      <c r="L13">
        <f t="shared" si="3"/>
        <v>3.5</v>
      </c>
      <c r="M13" s="8">
        <f t="shared" si="0"/>
        <v>0.53298611111111116</v>
      </c>
      <c r="N13">
        <v>93.7</v>
      </c>
    </row>
    <row r="14" spans="1:14" x14ac:dyDescent="0.2">
      <c r="A14">
        <f t="shared" si="2"/>
        <v>4</v>
      </c>
      <c r="B14" s="8">
        <f t="shared" si="1"/>
        <v>0.50555555555555554</v>
      </c>
      <c r="C14">
        <v>93.6</v>
      </c>
      <c r="L14">
        <f t="shared" si="3"/>
        <v>4</v>
      </c>
      <c r="M14" s="8">
        <f t="shared" si="0"/>
        <v>0.53333333333333333</v>
      </c>
      <c r="N14">
        <v>93.6</v>
      </c>
    </row>
    <row r="15" spans="1:14" x14ac:dyDescent="0.2">
      <c r="A15">
        <f t="shared" si="2"/>
        <v>4.5</v>
      </c>
      <c r="B15" s="8">
        <f t="shared" si="1"/>
        <v>0.50590277777777781</v>
      </c>
      <c r="C15">
        <v>93.6</v>
      </c>
      <c r="L15">
        <v>5</v>
      </c>
      <c r="M15" s="8">
        <f t="shared" si="0"/>
        <v>0.53402777777777777</v>
      </c>
      <c r="N15">
        <v>93.7</v>
      </c>
    </row>
    <row r="16" spans="1:14" x14ac:dyDescent="0.2">
      <c r="A16">
        <f>A15+0.5</f>
        <v>5</v>
      </c>
      <c r="B16" s="8">
        <f t="shared" si="1"/>
        <v>0.50624999999999998</v>
      </c>
      <c r="C16">
        <v>93.7</v>
      </c>
      <c r="L16">
        <f>L15+1</f>
        <v>6</v>
      </c>
      <c r="M16" s="8">
        <f t="shared" si="0"/>
        <v>0.53472222222222221</v>
      </c>
      <c r="N16">
        <v>93.7</v>
      </c>
    </row>
    <row r="17" spans="1:14" x14ac:dyDescent="0.2">
      <c r="A17">
        <f t="shared" si="2"/>
        <v>5.5</v>
      </c>
      <c r="B17" s="8">
        <f t="shared" si="1"/>
        <v>0.50659722222222225</v>
      </c>
      <c r="C17">
        <v>94.5</v>
      </c>
      <c r="L17">
        <f t="shared" ref="L17:L18" si="4">L16+1</f>
        <v>7</v>
      </c>
      <c r="M17" s="8">
        <f t="shared" si="0"/>
        <v>0.53541666666666665</v>
      </c>
      <c r="N17">
        <v>93.6</v>
      </c>
    </row>
    <row r="18" spans="1:14" x14ac:dyDescent="0.2">
      <c r="A18">
        <f>340/60</f>
        <v>5.666666666666667</v>
      </c>
      <c r="B18" s="8">
        <f t="shared" si="1"/>
        <v>0.50671296296296298</v>
      </c>
      <c r="C18">
        <v>95.1</v>
      </c>
      <c r="L18">
        <f t="shared" si="4"/>
        <v>8</v>
      </c>
      <c r="M18" s="8">
        <f t="shared" si="0"/>
        <v>0.53611111111111109</v>
      </c>
      <c r="N18">
        <v>93.6</v>
      </c>
    </row>
    <row r="19" spans="1:14" x14ac:dyDescent="0.2">
      <c r="A19">
        <f>350/60</f>
        <v>5.833333333333333</v>
      </c>
      <c r="B19" s="8">
        <f t="shared" si="1"/>
        <v>0.5068287037037037</v>
      </c>
      <c r="C19">
        <v>95.7</v>
      </c>
      <c r="L19">
        <v>9.1666666669999994</v>
      </c>
      <c r="M19" s="8">
        <f t="shared" si="0"/>
        <v>0.53692129629652774</v>
      </c>
      <c r="N19">
        <v>93.9</v>
      </c>
    </row>
    <row r="20" spans="1:14" x14ac:dyDescent="0.2">
      <c r="A20">
        <v>6</v>
      </c>
      <c r="B20" s="8">
        <f t="shared" si="1"/>
        <v>0.50694444444444442</v>
      </c>
      <c r="C20">
        <v>96.6</v>
      </c>
      <c r="L20">
        <f>L19+0.1666666666667</f>
        <v>9.3333333336666993</v>
      </c>
      <c r="M20" s="8">
        <f t="shared" si="0"/>
        <v>0.53703703703726857</v>
      </c>
      <c r="N20">
        <v>94</v>
      </c>
    </row>
    <row r="21" spans="1:14" x14ac:dyDescent="0.2">
      <c r="A21">
        <f>370/60</f>
        <v>6.166666666666667</v>
      </c>
      <c r="B21" s="8">
        <f t="shared" si="1"/>
        <v>0.50706018518518514</v>
      </c>
      <c r="C21">
        <v>98.1</v>
      </c>
      <c r="L21">
        <f t="shared" ref="L21:L84" si="5">L20+0.1666666666667</f>
        <v>9.5000000003333991</v>
      </c>
      <c r="M21" s="8">
        <f t="shared" si="0"/>
        <v>0.53715277777800929</v>
      </c>
      <c r="N21">
        <v>94.5</v>
      </c>
    </row>
    <row r="22" spans="1:14" x14ac:dyDescent="0.2">
      <c r="A22">
        <f>380/60</f>
        <v>6.333333333333333</v>
      </c>
      <c r="B22" s="8">
        <f t="shared" si="1"/>
        <v>0.50717592592592586</v>
      </c>
      <c r="C22">
        <v>99.3</v>
      </c>
      <c r="L22">
        <f t="shared" si="5"/>
        <v>9.6666666670000989</v>
      </c>
      <c r="M22" s="8">
        <f t="shared" si="0"/>
        <v>0.53726851851875002</v>
      </c>
      <c r="N22">
        <v>94.7</v>
      </c>
    </row>
    <row r="23" spans="1:14" x14ac:dyDescent="0.2">
      <c r="A23">
        <f>390/60</f>
        <v>6.5</v>
      </c>
      <c r="B23" s="8">
        <f t="shared" si="1"/>
        <v>0.5072916666666667</v>
      </c>
      <c r="C23">
        <v>100.8</v>
      </c>
      <c r="L23">
        <f t="shared" si="5"/>
        <v>9.8333333336667987</v>
      </c>
      <c r="M23" s="8">
        <f t="shared" si="0"/>
        <v>0.53738425925949085</v>
      </c>
      <c r="N23">
        <v>95.6</v>
      </c>
    </row>
    <row r="24" spans="1:14" x14ac:dyDescent="0.2">
      <c r="A24">
        <f>400/60</f>
        <v>6.666666666666667</v>
      </c>
      <c r="B24" s="8">
        <f t="shared" si="1"/>
        <v>0.50740740740740742</v>
      </c>
      <c r="C24">
        <v>102.7</v>
      </c>
      <c r="L24">
        <f t="shared" si="5"/>
        <v>10.000000000333499</v>
      </c>
      <c r="M24" s="8">
        <f t="shared" si="0"/>
        <v>0.53750000000023157</v>
      </c>
      <c r="N24">
        <v>96.8</v>
      </c>
    </row>
    <row r="25" spans="1:14" x14ac:dyDescent="0.2">
      <c r="A25">
        <f>410/60</f>
        <v>6.833333333333333</v>
      </c>
      <c r="B25" s="8">
        <f t="shared" si="1"/>
        <v>0.50752314814814814</v>
      </c>
      <c r="C25">
        <v>104.6</v>
      </c>
      <c r="L25">
        <f t="shared" si="5"/>
        <v>10.166666667000198</v>
      </c>
      <c r="M25" s="8">
        <f t="shared" si="0"/>
        <v>0.5376157407409724</v>
      </c>
      <c r="N25">
        <v>97.8</v>
      </c>
    </row>
    <row r="26" spans="1:14" x14ac:dyDescent="0.2">
      <c r="A26">
        <f>420/60</f>
        <v>7</v>
      </c>
      <c r="B26" s="8">
        <f t="shared" si="1"/>
        <v>0.50763888888888886</v>
      </c>
      <c r="C26">
        <v>105.5</v>
      </c>
      <c r="L26">
        <f t="shared" si="5"/>
        <v>10.333333333666898</v>
      </c>
      <c r="M26" s="8">
        <f t="shared" si="0"/>
        <v>0.53773148148171312</v>
      </c>
      <c r="N26">
        <v>99.2</v>
      </c>
    </row>
    <row r="27" spans="1:14" x14ac:dyDescent="0.2">
      <c r="A27">
        <f>430/60</f>
        <v>7.166666666666667</v>
      </c>
      <c r="B27" s="8">
        <f t="shared" si="1"/>
        <v>0.50775462962962958</v>
      </c>
      <c r="C27">
        <v>107.2</v>
      </c>
      <c r="L27">
        <f t="shared" si="5"/>
        <v>10.500000000333598</v>
      </c>
      <c r="M27" s="8">
        <f t="shared" si="0"/>
        <v>0.53784722222245385</v>
      </c>
      <c r="N27">
        <v>100.2</v>
      </c>
    </row>
    <row r="28" spans="1:14" x14ac:dyDescent="0.2">
      <c r="A28">
        <f>440/60</f>
        <v>7.333333333333333</v>
      </c>
      <c r="B28" s="8">
        <f t="shared" si="1"/>
        <v>0.50787037037037031</v>
      </c>
      <c r="C28">
        <v>108.3</v>
      </c>
      <c r="L28">
        <f t="shared" si="5"/>
        <v>10.666666667000298</v>
      </c>
      <c r="M28" s="8">
        <f t="shared" si="0"/>
        <v>0.53796296296319468</v>
      </c>
      <c r="N28">
        <v>102.4</v>
      </c>
    </row>
    <row r="29" spans="1:14" x14ac:dyDescent="0.2">
      <c r="A29">
        <f>450/60</f>
        <v>7.5</v>
      </c>
      <c r="B29" s="8">
        <f t="shared" si="1"/>
        <v>0.50798611111111114</v>
      </c>
      <c r="C29">
        <v>109.9</v>
      </c>
      <c r="L29">
        <f t="shared" si="5"/>
        <v>10.833333333666998</v>
      </c>
      <c r="M29" s="8">
        <f t="shared" si="0"/>
        <v>0.5380787037039354</v>
      </c>
      <c r="N29">
        <v>104</v>
      </c>
    </row>
    <row r="30" spans="1:14" x14ac:dyDescent="0.2">
      <c r="A30">
        <f>460/60</f>
        <v>7.666666666666667</v>
      </c>
      <c r="B30" s="8">
        <f t="shared" si="1"/>
        <v>0.50810185185185186</v>
      </c>
      <c r="C30">
        <v>111.1</v>
      </c>
      <c r="L30">
        <f t="shared" si="5"/>
        <v>11.000000000333698</v>
      </c>
      <c r="M30" s="8">
        <f t="shared" si="0"/>
        <v>0.53819444444467623</v>
      </c>
      <c r="N30">
        <v>105.6</v>
      </c>
    </row>
    <row r="31" spans="1:14" x14ac:dyDescent="0.2">
      <c r="A31">
        <f>470/60</f>
        <v>7.833333333333333</v>
      </c>
      <c r="B31" s="8">
        <f t="shared" si="1"/>
        <v>0.50821759259259258</v>
      </c>
      <c r="C31">
        <v>112.1</v>
      </c>
      <c r="L31">
        <f t="shared" si="5"/>
        <v>11.166666667000397</v>
      </c>
      <c r="M31" s="8">
        <f t="shared" si="0"/>
        <v>0.53831018518541696</v>
      </c>
      <c r="N31">
        <v>107.3</v>
      </c>
    </row>
    <row r="32" spans="1:14" x14ac:dyDescent="0.2">
      <c r="A32">
        <f>480/60</f>
        <v>8</v>
      </c>
      <c r="B32" s="8">
        <f t="shared" si="1"/>
        <v>0.5083333333333333</v>
      </c>
      <c r="C32">
        <v>112.9</v>
      </c>
      <c r="L32">
        <f t="shared" si="5"/>
        <v>11.333333333667097</v>
      </c>
      <c r="M32" s="8">
        <f t="shared" si="0"/>
        <v>0.53842592592615768</v>
      </c>
      <c r="N32">
        <v>108.8</v>
      </c>
    </row>
    <row r="33" spans="1:14" x14ac:dyDescent="0.2">
      <c r="A33">
        <f>490/60</f>
        <v>8.1666666666666661</v>
      </c>
      <c r="B33" s="8">
        <f t="shared" si="1"/>
        <v>0.50844907407407403</v>
      </c>
      <c r="C33">
        <v>113.4</v>
      </c>
      <c r="L33">
        <f t="shared" si="5"/>
        <v>11.500000000333797</v>
      </c>
      <c r="M33" s="8">
        <f t="shared" si="0"/>
        <v>0.53854166666689851</v>
      </c>
      <c r="N33">
        <v>110</v>
      </c>
    </row>
    <row r="34" spans="1:14" x14ac:dyDescent="0.2">
      <c r="A34">
        <f>500/60</f>
        <v>8.3333333333333339</v>
      </c>
      <c r="B34" s="8">
        <f t="shared" si="1"/>
        <v>0.50856481481481486</v>
      </c>
      <c r="C34">
        <v>113.9</v>
      </c>
      <c r="L34">
        <f t="shared" si="5"/>
        <v>11.666666667000497</v>
      </c>
      <c r="M34" s="8">
        <f t="shared" si="0"/>
        <v>0.53865740740763923</v>
      </c>
      <c r="N34">
        <v>111.2</v>
      </c>
    </row>
    <row r="35" spans="1:14" x14ac:dyDescent="0.2">
      <c r="A35">
        <f>510/60</f>
        <v>8.5</v>
      </c>
      <c r="B35" s="8">
        <f t="shared" si="1"/>
        <v>0.50868055555555558</v>
      </c>
      <c r="C35">
        <v>114.1</v>
      </c>
      <c r="L35">
        <f t="shared" si="5"/>
        <v>11.833333333667197</v>
      </c>
      <c r="M35" s="8">
        <f t="shared" si="0"/>
        <v>0.53877314814837995</v>
      </c>
      <c r="N35">
        <v>111.7</v>
      </c>
    </row>
    <row r="36" spans="1:14" x14ac:dyDescent="0.2">
      <c r="A36">
        <f>520/60</f>
        <v>8.6666666666666661</v>
      </c>
      <c r="B36" s="8">
        <f t="shared" si="1"/>
        <v>0.5087962962962963</v>
      </c>
      <c r="C36">
        <v>114.1</v>
      </c>
      <c r="L36">
        <f t="shared" si="5"/>
        <v>12.000000000333896</v>
      </c>
      <c r="M36" s="8">
        <f t="shared" si="0"/>
        <v>0.53888888888912079</v>
      </c>
      <c r="N36">
        <v>112.4</v>
      </c>
    </row>
    <row r="37" spans="1:14" x14ac:dyDescent="0.2">
      <c r="A37">
        <f>530/60</f>
        <v>8.8333333333333339</v>
      </c>
      <c r="B37" s="8">
        <f t="shared" si="1"/>
        <v>0.50891203703703702</v>
      </c>
      <c r="C37">
        <v>114.1</v>
      </c>
      <c r="L37">
        <f t="shared" si="5"/>
        <v>12.166666667000596</v>
      </c>
      <c r="M37" s="8">
        <f t="shared" si="0"/>
        <v>0.53900462962986151</v>
      </c>
      <c r="N37">
        <v>113</v>
      </c>
    </row>
    <row r="38" spans="1:14" x14ac:dyDescent="0.2">
      <c r="A38">
        <f>540/60</f>
        <v>9</v>
      </c>
      <c r="B38" s="8">
        <f t="shared" si="1"/>
        <v>0.50902777777777775</v>
      </c>
      <c r="C38">
        <v>113.9</v>
      </c>
      <c r="L38">
        <f t="shared" si="5"/>
        <v>12.333333333667296</v>
      </c>
      <c r="M38" s="8">
        <f t="shared" si="0"/>
        <v>0.53912037037060234</v>
      </c>
      <c r="N38">
        <v>113.4</v>
      </c>
    </row>
    <row r="39" spans="1:14" x14ac:dyDescent="0.2">
      <c r="A39">
        <f>550/60</f>
        <v>9.1666666666666661</v>
      </c>
      <c r="B39" s="8">
        <f t="shared" si="1"/>
        <v>0.50914351851851847</v>
      </c>
      <c r="C39">
        <v>113.4</v>
      </c>
      <c r="L39">
        <f t="shared" si="5"/>
        <v>12.500000000333996</v>
      </c>
      <c r="M39" s="8">
        <f t="shared" si="0"/>
        <v>0.53923611111134306</v>
      </c>
      <c r="N39">
        <v>113.5</v>
      </c>
    </row>
    <row r="40" spans="1:14" x14ac:dyDescent="0.2">
      <c r="A40">
        <f>560/60</f>
        <v>9.3333333333333339</v>
      </c>
      <c r="B40" s="8">
        <f t="shared" si="1"/>
        <v>0.5092592592592593</v>
      </c>
      <c r="C40">
        <v>113.1</v>
      </c>
      <c r="L40">
        <f t="shared" si="5"/>
        <v>12.666666667000696</v>
      </c>
      <c r="M40" s="8">
        <f t="shared" si="0"/>
        <v>0.53935185185208379</v>
      </c>
      <c r="N40">
        <v>113.6</v>
      </c>
    </row>
    <row r="41" spans="1:14" x14ac:dyDescent="0.2">
      <c r="A41">
        <f>570/60</f>
        <v>9.5</v>
      </c>
      <c r="B41" s="8">
        <f t="shared" si="1"/>
        <v>0.50937500000000002</v>
      </c>
      <c r="C41">
        <v>112.6</v>
      </c>
      <c r="L41">
        <f t="shared" si="5"/>
        <v>12.833333333667396</v>
      </c>
      <c r="M41" s="8">
        <f t="shared" si="0"/>
        <v>0.53946759259282462</v>
      </c>
      <c r="N41">
        <v>113.5</v>
      </c>
    </row>
    <row r="42" spans="1:14" x14ac:dyDescent="0.2">
      <c r="A42">
        <f>580/60</f>
        <v>9.6666666666666661</v>
      </c>
      <c r="B42" s="8">
        <f t="shared" si="1"/>
        <v>0.50949074074074074</v>
      </c>
      <c r="C42">
        <v>112.3</v>
      </c>
      <c r="L42">
        <f t="shared" si="5"/>
        <v>13.000000000334095</v>
      </c>
      <c r="M42" s="8">
        <f t="shared" si="0"/>
        <v>0.53958333333356534</v>
      </c>
      <c r="N42">
        <v>113.3</v>
      </c>
    </row>
    <row r="43" spans="1:14" x14ac:dyDescent="0.2">
      <c r="A43">
        <f>590/60</f>
        <v>9.8333333333333339</v>
      </c>
      <c r="B43" s="8">
        <f t="shared" si="1"/>
        <v>0.50960648148148147</v>
      </c>
      <c r="C43">
        <v>111.7</v>
      </c>
      <c r="L43">
        <f t="shared" si="5"/>
        <v>13.166666667000795</v>
      </c>
      <c r="M43" s="8">
        <f t="shared" si="0"/>
        <v>0.53969907407430606</v>
      </c>
      <c r="N43">
        <v>113</v>
      </c>
    </row>
    <row r="44" spans="1:14" x14ac:dyDescent="0.2">
      <c r="A44">
        <v>10</v>
      </c>
      <c r="B44" s="8">
        <f t="shared" si="1"/>
        <v>0.50972222222222219</v>
      </c>
      <c r="C44">
        <v>111.2</v>
      </c>
      <c r="L44">
        <f t="shared" si="5"/>
        <v>13.333333333667495</v>
      </c>
      <c r="M44" s="8">
        <f t="shared" si="0"/>
        <v>0.5398148148150469</v>
      </c>
      <c r="N44">
        <v>112.7</v>
      </c>
    </row>
    <row r="45" spans="1:14" x14ac:dyDescent="0.2">
      <c r="A45">
        <f>610/60</f>
        <v>10.166666666666666</v>
      </c>
      <c r="B45" s="8">
        <f t="shared" si="1"/>
        <v>0.50983796296296291</v>
      </c>
      <c r="C45">
        <v>110.6</v>
      </c>
      <c r="L45">
        <f t="shared" si="5"/>
        <v>13.500000000334195</v>
      </c>
      <c r="M45" s="8">
        <f t="shared" si="0"/>
        <v>0.53993055555578762</v>
      </c>
      <c r="N45">
        <v>112.3</v>
      </c>
    </row>
    <row r="46" spans="1:14" x14ac:dyDescent="0.2">
      <c r="A46">
        <f>620/60</f>
        <v>10.333333333333334</v>
      </c>
      <c r="B46" s="8">
        <f t="shared" si="1"/>
        <v>0.50995370370370374</v>
      </c>
      <c r="C46">
        <v>110</v>
      </c>
      <c r="L46">
        <f t="shared" si="5"/>
        <v>13.666666667000895</v>
      </c>
      <c r="M46" s="8">
        <f t="shared" si="0"/>
        <v>0.54004629629652845</v>
      </c>
      <c r="N46">
        <v>111.8</v>
      </c>
    </row>
    <row r="47" spans="1:14" x14ac:dyDescent="0.2">
      <c r="A47">
        <f>630/60</f>
        <v>10.5</v>
      </c>
      <c r="B47" s="8">
        <f t="shared" si="1"/>
        <v>0.51006944444444446</v>
      </c>
      <c r="C47">
        <v>109.5</v>
      </c>
      <c r="L47">
        <f t="shared" si="5"/>
        <v>13.833333333667595</v>
      </c>
      <c r="M47" s="8">
        <f t="shared" si="0"/>
        <v>0.54016203703726917</v>
      </c>
      <c r="N47">
        <v>111.3</v>
      </c>
    </row>
    <row r="48" spans="1:14" x14ac:dyDescent="0.2">
      <c r="A48">
        <f>640/60</f>
        <v>10.666666666666666</v>
      </c>
      <c r="B48" s="8">
        <f t="shared" si="1"/>
        <v>0.51018518518518519</v>
      </c>
      <c r="C48">
        <v>108.8</v>
      </c>
      <c r="L48">
        <f t="shared" si="5"/>
        <v>14.000000000334294</v>
      </c>
      <c r="M48" s="8">
        <f t="shared" si="0"/>
        <v>0.54027777777800989</v>
      </c>
      <c r="N48">
        <v>110.8</v>
      </c>
    </row>
    <row r="49" spans="1:14" x14ac:dyDescent="0.2">
      <c r="A49">
        <f>650/60</f>
        <v>10.833333333333334</v>
      </c>
      <c r="B49" s="8">
        <f t="shared" si="1"/>
        <v>0.51030092592592591</v>
      </c>
      <c r="C49">
        <v>108.1</v>
      </c>
      <c r="L49">
        <f t="shared" si="5"/>
        <v>14.166666667000994</v>
      </c>
      <c r="M49" s="8">
        <f t="shared" si="0"/>
        <v>0.54039351851875073</v>
      </c>
      <c r="N49">
        <v>110.1</v>
      </c>
    </row>
    <row r="50" spans="1:14" x14ac:dyDescent="0.2">
      <c r="A50">
        <f>660/60</f>
        <v>11</v>
      </c>
      <c r="B50" s="8">
        <f t="shared" si="1"/>
        <v>0.51041666666666663</v>
      </c>
      <c r="C50">
        <v>107.3</v>
      </c>
      <c r="L50">
        <f t="shared" si="5"/>
        <v>14.333333333667694</v>
      </c>
      <c r="M50" s="8">
        <f t="shared" si="0"/>
        <v>0.54050925925949145</v>
      </c>
      <c r="N50">
        <v>109.8</v>
      </c>
    </row>
    <row r="51" spans="1:14" x14ac:dyDescent="0.2">
      <c r="A51">
        <f>670/60</f>
        <v>11.166666666666666</v>
      </c>
      <c r="B51" s="8">
        <f t="shared" si="1"/>
        <v>0.51053240740740735</v>
      </c>
      <c r="C51">
        <v>106.8</v>
      </c>
      <c r="L51">
        <f t="shared" si="5"/>
        <v>14.500000000334394</v>
      </c>
      <c r="M51" s="8">
        <f t="shared" si="0"/>
        <v>0.54062500000023217</v>
      </c>
      <c r="N51">
        <v>109.2</v>
      </c>
    </row>
    <row r="52" spans="1:14" x14ac:dyDescent="0.2">
      <c r="A52">
        <f>680/60</f>
        <v>11.333333333333334</v>
      </c>
      <c r="B52" s="8">
        <f t="shared" si="1"/>
        <v>0.51064814814814818</v>
      </c>
      <c r="C52">
        <v>106.4</v>
      </c>
      <c r="L52">
        <f t="shared" si="5"/>
        <v>14.666666667001094</v>
      </c>
      <c r="M52" s="8">
        <f t="shared" si="0"/>
        <v>0.540740740740973</v>
      </c>
      <c r="N52">
        <v>108.7</v>
      </c>
    </row>
    <row r="53" spans="1:14" x14ac:dyDescent="0.2">
      <c r="A53">
        <f>690/30</f>
        <v>23</v>
      </c>
      <c r="B53" s="8">
        <f t="shared" si="1"/>
        <v>0.51875000000000004</v>
      </c>
      <c r="C53">
        <v>105.8</v>
      </c>
      <c r="L53">
        <f t="shared" si="5"/>
        <v>14.833333333667793</v>
      </c>
      <c r="M53" s="8">
        <f t="shared" si="0"/>
        <v>0.54085648148171372</v>
      </c>
      <c r="N53">
        <v>108</v>
      </c>
    </row>
    <row r="54" spans="1:14" x14ac:dyDescent="0.2">
      <c r="A54">
        <f>700/60</f>
        <v>11.666666666666666</v>
      </c>
      <c r="B54" s="8">
        <f t="shared" si="1"/>
        <v>0.51087962962962963</v>
      </c>
      <c r="C54">
        <v>105.3</v>
      </c>
      <c r="L54">
        <f t="shared" si="5"/>
        <v>15.000000000334493</v>
      </c>
      <c r="M54" s="8">
        <f t="shared" si="0"/>
        <v>0.54097222222245456</v>
      </c>
      <c r="N54">
        <v>107.7</v>
      </c>
    </row>
    <row r="55" spans="1:14" x14ac:dyDescent="0.2">
      <c r="A55">
        <f>710/60</f>
        <v>11.833333333333334</v>
      </c>
      <c r="B55" s="8">
        <f t="shared" si="1"/>
        <v>0.51099537037037035</v>
      </c>
      <c r="C55">
        <v>105</v>
      </c>
      <c r="L55">
        <f t="shared" si="5"/>
        <v>15.166666667001193</v>
      </c>
      <c r="M55" s="8">
        <f t="shared" si="0"/>
        <v>0.54108796296319528</v>
      </c>
      <c r="N55">
        <v>107</v>
      </c>
    </row>
    <row r="56" spans="1:14" x14ac:dyDescent="0.2">
      <c r="A56">
        <f>720/60</f>
        <v>12</v>
      </c>
      <c r="B56" s="8">
        <f t="shared" si="1"/>
        <v>0.51111111111111107</v>
      </c>
      <c r="C56">
        <v>104.3</v>
      </c>
      <c r="L56">
        <f t="shared" si="5"/>
        <v>15.333333333667893</v>
      </c>
      <c r="M56" s="8">
        <f t="shared" si="0"/>
        <v>0.541203703703936</v>
      </c>
      <c r="N56">
        <v>106.6</v>
      </c>
    </row>
    <row r="57" spans="1:14" x14ac:dyDescent="0.2">
      <c r="A57">
        <f>730/60</f>
        <v>12.166666666666666</v>
      </c>
      <c r="B57" s="8">
        <f t="shared" si="1"/>
        <v>0.51122685185185179</v>
      </c>
      <c r="C57">
        <v>104</v>
      </c>
      <c r="L57">
        <f t="shared" si="5"/>
        <v>15.500000000334593</v>
      </c>
      <c r="M57" s="8">
        <f t="shared" si="0"/>
        <v>0.54131944444467683</v>
      </c>
      <c r="N57">
        <v>105.2</v>
      </c>
    </row>
    <row r="58" spans="1:14" x14ac:dyDescent="0.2">
      <c r="A58">
        <f>740/60</f>
        <v>12.333333333333334</v>
      </c>
      <c r="B58" s="8">
        <f t="shared" si="1"/>
        <v>0.51134259259259263</v>
      </c>
      <c r="C58">
        <v>103.4</v>
      </c>
      <c r="L58">
        <f t="shared" si="5"/>
        <v>15.666666667001293</v>
      </c>
      <c r="M58" s="8">
        <f t="shared" si="0"/>
        <v>0.54143518518541756</v>
      </c>
      <c r="N58">
        <v>105.4</v>
      </c>
    </row>
    <row r="59" spans="1:14" x14ac:dyDescent="0.2">
      <c r="A59">
        <f>750/60</f>
        <v>12.5</v>
      </c>
      <c r="B59" s="8">
        <f t="shared" si="1"/>
        <v>0.51145833333333335</v>
      </c>
      <c r="C59">
        <v>103</v>
      </c>
      <c r="L59">
        <f t="shared" si="5"/>
        <v>15.833333333667992</v>
      </c>
      <c r="M59" s="8">
        <f t="shared" si="0"/>
        <v>0.54155092592615828</v>
      </c>
      <c r="N59">
        <v>105</v>
      </c>
    </row>
    <row r="60" spans="1:14" x14ac:dyDescent="0.2">
      <c r="A60">
        <f>760/60</f>
        <v>12.666666666666666</v>
      </c>
      <c r="B60" s="8">
        <f t="shared" si="1"/>
        <v>0.51157407407407407</v>
      </c>
      <c r="C60">
        <v>102.7</v>
      </c>
      <c r="L60">
        <f t="shared" si="5"/>
        <v>16.000000000334694</v>
      </c>
      <c r="M60" s="8">
        <f t="shared" si="0"/>
        <v>0.54166666666689911</v>
      </c>
      <c r="N60">
        <v>104.5</v>
      </c>
    </row>
    <row r="61" spans="1:14" x14ac:dyDescent="0.2">
      <c r="A61">
        <f>770/60</f>
        <v>12.833333333333334</v>
      </c>
      <c r="B61" s="8">
        <f t="shared" si="1"/>
        <v>0.51168981481481479</v>
      </c>
      <c r="C61">
        <v>102.3</v>
      </c>
      <c r="L61">
        <f t="shared" si="5"/>
        <v>16.166666667001394</v>
      </c>
      <c r="M61" s="8">
        <f t="shared" si="0"/>
        <v>0.54178240740763983</v>
      </c>
      <c r="N61">
        <v>103.9</v>
      </c>
    </row>
    <row r="62" spans="1:14" x14ac:dyDescent="0.2">
      <c r="A62">
        <f>780/60</f>
        <v>13</v>
      </c>
      <c r="B62" s="8">
        <f t="shared" si="1"/>
        <v>0.51180555555555551</v>
      </c>
      <c r="C62">
        <v>101.8</v>
      </c>
      <c r="L62">
        <f t="shared" si="5"/>
        <v>16.333333333668094</v>
      </c>
      <c r="M62" s="8">
        <f t="shared" si="0"/>
        <v>0.54189814814838067</v>
      </c>
      <c r="N62">
        <v>103.5</v>
      </c>
    </row>
    <row r="63" spans="1:14" x14ac:dyDescent="0.2">
      <c r="A63">
        <f>790/60</f>
        <v>13.166666666666666</v>
      </c>
      <c r="B63" s="8">
        <f t="shared" si="1"/>
        <v>0.51192129629629624</v>
      </c>
      <c r="C63">
        <v>101.5</v>
      </c>
      <c r="L63">
        <f t="shared" si="5"/>
        <v>16.500000000334794</v>
      </c>
      <c r="M63" s="8">
        <f t="shared" si="0"/>
        <v>0.54201388888912139</v>
      </c>
      <c r="N63">
        <v>102.9</v>
      </c>
    </row>
    <row r="64" spans="1:14" x14ac:dyDescent="0.2">
      <c r="A64">
        <f>800/60</f>
        <v>13.333333333333334</v>
      </c>
      <c r="B64" s="8">
        <f t="shared" si="1"/>
        <v>0.51203703703703707</v>
      </c>
      <c r="C64">
        <v>100.9</v>
      </c>
      <c r="L64">
        <f t="shared" si="5"/>
        <v>16.666666667001493</v>
      </c>
      <c r="M64" s="8">
        <f t="shared" si="0"/>
        <v>0.54212962962986211</v>
      </c>
      <c r="N64">
        <v>102.5</v>
      </c>
    </row>
    <row r="65" spans="1:14" x14ac:dyDescent="0.2">
      <c r="A65">
        <f>810/60</f>
        <v>13.5</v>
      </c>
      <c r="B65" s="8">
        <f t="shared" si="1"/>
        <v>0.51215277777777779</v>
      </c>
      <c r="C65">
        <v>100.6</v>
      </c>
      <c r="L65">
        <f t="shared" si="5"/>
        <v>16.833333333668193</v>
      </c>
      <c r="M65" s="8">
        <f t="shared" si="0"/>
        <v>0.54224537037060294</v>
      </c>
      <c r="N65">
        <v>102</v>
      </c>
    </row>
    <row r="66" spans="1:14" x14ac:dyDescent="0.2">
      <c r="A66">
        <f>820/60</f>
        <v>13.666666666666666</v>
      </c>
      <c r="B66" s="8">
        <f t="shared" si="1"/>
        <v>0.51226851851851851</v>
      </c>
      <c r="C66">
        <v>100.3</v>
      </c>
      <c r="L66">
        <f t="shared" si="5"/>
        <v>17.000000000334893</v>
      </c>
      <c r="M66" s="8">
        <f t="shared" si="0"/>
        <v>0.54236111111134366</v>
      </c>
      <c r="N66">
        <v>101.5</v>
      </c>
    </row>
    <row r="67" spans="1:14" x14ac:dyDescent="0.2">
      <c r="A67">
        <f>830/60</f>
        <v>13.833333333333334</v>
      </c>
      <c r="B67" s="8">
        <f t="shared" si="1"/>
        <v>0.51238425925925923</v>
      </c>
      <c r="C67">
        <v>100</v>
      </c>
      <c r="L67">
        <f t="shared" si="5"/>
        <v>17.166666667001593</v>
      </c>
      <c r="M67" s="8">
        <f t="shared" si="0"/>
        <v>0.5424768518520845</v>
      </c>
      <c r="N67">
        <v>101.2</v>
      </c>
    </row>
    <row r="68" spans="1:14" x14ac:dyDescent="0.2">
      <c r="A68">
        <f>840/60</f>
        <v>14</v>
      </c>
      <c r="B68" s="8">
        <f t="shared" si="1"/>
        <v>0.51249999999999996</v>
      </c>
      <c r="C68">
        <v>99.7</v>
      </c>
      <c r="L68">
        <f t="shared" si="5"/>
        <v>17.333333333668293</v>
      </c>
      <c r="M68" s="8">
        <f t="shared" si="0"/>
        <v>0.54259259259282522</v>
      </c>
      <c r="N68">
        <v>100.9</v>
      </c>
    </row>
    <row r="69" spans="1:14" x14ac:dyDescent="0.2">
      <c r="A69">
        <f>850/60</f>
        <v>14.166666666666666</v>
      </c>
      <c r="B69" s="8">
        <f t="shared" si="1"/>
        <v>0.51261574074074068</v>
      </c>
      <c r="C69">
        <v>99.4</v>
      </c>
      <c r="L69">
        <f t="shared" si="5"/>
        <v>17.500000000334992</v>
      </c>
      <c r="M69" s="8">
        <f t="shared" si="0"/>
        <v>0.54270833333356594</v>
      </c>
      <c r="N69">
        <v>100.4</v>
      </c>
    </row>
    <row r="70" spans="1:14" x14ac:dyDescent="0.2">
      <c r="A70">
        <f>860/60</f>
        <v>14.333333333333334</v>
      </c>
      <c r="B70" s="8">
        <f t="shared" si="1"/>
        <v>0.51273148148148151</v>
      </c>
      <c r="C70">
        <v>99.1</v>
      </c>
      <c r="L70">
        <f t="shared" si="5"/>
        <v>17.666666667001692</v>
      </c>
      <c r="M70" s="8">
        <f t="shared" si="0"/>
        <v>0.54282407407430677</v>
      </c>
      <c r="N70">
        <v>100.3</v>
      </c>
    </row>
    <row r="71" spans="1:14" x14ac:dyDescent="0.2">
      <c r="A71">
        <f>870/60</f>
        <v>14.5</v>
      </c>
      <c r="B71" s="8">
        <f t="shared" si="1"/>
        <v>0.51284722222222223</v>
      </c>
      <c r="C71">
        <v>98.8</v>
      </c>
      <c r="L71">
        <f t="shared" si="5"/>
        <v>17.833333333668392</v>
      </c>
      <c r="M71" s="8">
        <f t="shared" si="0"/>
        <v>0.54293981481504749</v>
      </c>
      <c r="N71">
        <v>99.9</v>
      </c>
    </row>
    <row r="72" spans="1:14" x14ac:dyDescent="0.2">
      <c r="A72">
        <f>880/60</f>
        <v>14.666666666666666</v>
      </c>
      <c r="B72" s="8">
        <f t="shared" si="1"/>
        <v>0.51296296296296295</v>
      </c>
      <c r="C72">
        <v>98.5</v>
      </c>
      <c r="L72">
        <f t="shared" si="5"/>
        <v>18.000000000335092</v>
      </c>
      <c r="M72" s="8">
        <f t="shared" ref="M72:M135" si="6">$M$3+L72/24/60</f>
        <v>0.54305555555578822</v>
      </c>
      <c r="N72">
        <v>99.5</v>
      </c>
    </row>
    <row r="73" spans="1:14" x14ac:dyDescent="0.2">
      <c r="A73">
        <f>890/60</f>
        <v>14.833333333333334</v>
      </c>
      <c r="B73" s="8">
        <f t="shared" si="1"/>
        <v>0.51307870370370368</v>
      </c>
      <c r="C73">
        <v>98.3</v>
      </c>
      <c r="L73">
        <f t="shared" si="5"/>
        <v>18.166666667001792</v>
      </c>
      <c r="M73" s="8">
        <f t="shared" si="6"/>
        <v>0.54317129629652905</v>
      </c>
      <c r="N73">
        <v>99.4</v>
      </c>
    </row>
    <row r="74" spans="1:14" x14ac:dyDescent="0.2">
      <c r="A74">
        <f>900/60</f>
        <v>15</v>
      </c>
      <c r="B74" s="8">
        <f t="shared" si="1"/>
        <v>0.5131944444444444</v>
      </c>
      <c r="C74">
        <v>98.1</v>
      </c>
      <c r="L74">
        <f t="shared" si="5"/>
        <v>18.333333333668492</v>
      </c>
      <c r="M74" s="8">
        <f t="shared" si="6"/>
        <v>0.54328703703726977</v>
      </c>
      <c r="N74">
        <v>99</v>
      </c>
    </row>
    <row r="75" spans="1:14" x14ac:dyDescent="0.2">
      <c r="A75">
        <f>910/60</f>
        <v>15.166666666666666</v>
      </c>
      <c r="B75" s="8">
        <f t="shared" ref="B75:B138" si="7">$B$3+A75/24/60</f>
        <v>0.51331018518518512</v>
      </c>
      <c r="C75">
        <v>97.8</v>
      </c>
      <c r="L75">
        <f t="shared" si="5"/>
        <v>18.500000000335191</v>
      </c>
      <c r="M75" s="8">
        <f t="shared" si="6"/>
        <v>0.5434027777780106</v>
      </c>
      <c r="N75">
        <v>98.8</v>
      </c>
    </row>
    <row r="76" spans="1:14" x14ac:dyDescent="0.2">
      <c r="A76">
        <f>920/60</f>
        <v>15.333333333333334</v>
      </c>
      <c r="B76" s="8">
        <f t="shared" si="7"/>
        <v>0.51342592592592595</v>
      </c>
      <c r="C76">
        <v>97.6</v>
      </c>
      <c r="L76">
        <f t="shared" si="5"/>
        <v>18.666666667001891</v>
      </c>
      <c r="M76" s="8">
        <f t="shared" si="6"/>
        <v>0.54351851851875133</v>
      </c>
      <c r="N76">
        <v>98.5</v>
      </c>
    </row>
    <row r="77" spans="1:14" x14ac:dyDescent="0.2">
      <c r="A77">
        <f>930/60</f>
        <v>15.5</v>
      </c>
      <c r="B77" s="8">
        <f t="shared" si="7"/>
        <v>0.51354166666666667</v>
      </c>
      <c r="C77">
        <v>97.4</v>
      </c>
      <c r="L77">
        <f t="shared" si="5"/>
        <v>18.833333333668591</v>
      </c>
      <c r="M77" s="8">
        <f t="shared" si="6"/>
        <v>0.54363425925949205</v>
      </c>
      <c r="N77">
        <v>95.1</v>
      </c>
    </row>
    <row r="78" spans="1:14" x14ac:dyDescent="0.2">
      <c r="A78">
        <f>940/60</f>
        <v>15.666666666666666</v>
      </c>
      <c r="B78" s="8">
        <f t="shared" si="7"/>
        <v>0.5136574074074074</v>
      </c>
      <c r="C78">
        <v>97.3</v>
      </c>
      <c r="L78">
        <f t="shared" si="5"/>
        <v>19.000000000335291</v>
      </c>
      <c r="M78" s="8">
        <f t="shared" si="6"/>
        <v>0.54375000000023288</v>
      </c>
      <c r="N78">
        <v>97.9</v>
      </c>
    </row>
    <row r="79" spans="1:14" x14ac:dyDescent="0.2">
      <c r="A79">
        <f>950/60</f>
        <v>15.833333333333334</v>
      </c>
      <c r="B79" s="8">
        <f t="shared" si="7"/>
        <v>0.51377314814814812</v>
      </c>
      <c r="C79">
        <v>97</v>
      </c>
      <c r="L79">
        <f t="shared" si="5"/>
        <v>19.166666667001991</v>
      </c>
      <c r="M79" s="8">
        <f t="shared" si="6"/>
        <v>0.5438657407409736</v>
      </c>
      <c r="N79">
        <v>97.8</v>
      </c>
    </row>
    <row r="80" spans="1:14" x14ac:dyDescent="0.2">
      <c r="A80">
        <f>960/60</f>
        <v>16</v>
      </c>
      <c r="B80" s="8">
        <f t="shared" si="7"/>
        <v>0.51388888888888884</v>
      </c>
      <c r="C80">
        <v>96.8</v>
      </c>
      <c r="L80">
        <f t="shared" si="5"/>
        <v>19.333333333668691</v>
      </c>
      <c r="M80" s="8">
        <f t="shared" si="6"/>
        <v>0.54398148148171432</v>
      </c>
      <c r="N80">
        <v>97.4</v>
      </c>
    </row>
    <row r="81" spans="1:14" x14ac:dyDescent="0.2">
      <c r="A81">
        <f>970/60</f>
        <v>16.166666666666668</v>
      </c>
      <c r="B81" s="8">
        <f t="shared" si="7"/>
        <v>0.51400462962962967</v>
      </c>
      <c r="C81">
        <v>96.6</v>
      </c>
      <c r="L81">
        <f t="shared" si="5"/>
        <v>19.50000000033539</v>
      </c>
      <c r="M81" s="8">
        <f t="shared" si="6"/>
        <v>0.54409722222245516</v>
      </c>
      <c r="N81">
        <v>97.3</v>
      </c>
    </row>
    <row r="82" spans="1:14" x14ac:dyDescent="0.2">
      <c r="A82">
        <f>980/60</f>
        <v>16.333333333333332</v>
      </c>
      <c r="B82" s="8">
        <f t="shared" si="7"/>
        <v>0.51412037037037039</v>
      </c>
      <c r="C82">
        <v>96.6</v>
      </c>
      <c r="L82">
        <f t="shared" si="5"/>
        <v>19.66666666700209</v>
      </c>
      <c r="M82" s="8">
        <f t="shared" si="6"/>
        <v>0.54421296296319588</v>
      </c>
      <c r="N82">
        <v>97.2</v>
      </c>
    </row>
    <row r="83" spans="1:14" x14ac:dyDescent="0.2">
      <c r="A83">
        <f>990/60</f>
        <v>16.5</v>
      </c>
      <c r="B83" s="8">
        <f t="shared" si="7"/>
        <v>0.51423611111111112</v>
      </c>
      <c r="C83">
        <v>96.5</v>
      </c>
      <c r="L83">
        <f t="shared" si="5"/>
        <v>19.83333333366879</v>
      </c>
      <c r="M83" s="8">
        <f t="shared" si="6"/>
        <v>0.54432870370393671</v>
      </c>
      <c r="N83">
        <v>97.1</v>
      </c>
    </row>
    <row r="84" spans="1:14" x14ac:dyDescent="0.2">
      <c r="A84">
        <f>1000/60</f>
        <v>16.666666666666668</v>
      </c>
      <c r="B84" s="8">
        <f t="shared" si="7"/>
        <v>0.51435185185185184</v>
      </c>
      <c r="C84">
        <v>96.2</v>
      </c>
      <c r="L84">
        <f t="shared" si="5"/>
        <v>20.00000000033549</v>
      </c>
      <c r="M84" s="8">
        <f t="shared" si="6"/>
        <v>0.54444444444467743</v>
      </c>
      <c r="N84">
        <v>96.6</v>
      </c>
    </row>
    <row r="85" spans="1:14" x14ac:dyDescent="0.2">
      <c r="A85">
        <f>1010/60</f>
        <v>16.833333333333332</v>
      </c>
      <c r="B85" s="8">
        <f t="shared" si="7"/>
        <v>0.51446759259259256</v>
      </c>
      <c r="C85">
        <v>96.1</v>
      </c>
      <c r="L85">
        <f t="shared" ref="L85:L148" si="8">L84+0.1666666666667</f>
        <v>20.16666666700219</v>
      </c>
      <c r="M85" s="8">
        <f t="shared" si="6"/>
        <v>0.54456018518541816</v>
      </c>
      <c r="N85">
        <v>96.6</v>
      </c>
    </row>
    <row r="86" spans="1:14" x14ac:dyDescent="0.2">
      <c r="A86">
        <f>1020/60</f>
        <v>17</v>
      </c>
      <c r="B86" s="8">
        <f t="shared" si="7"/>
        <v>0.51458333333333328</v>
      </c>
      <c r="C86">
        <v>96</v>
      </c>
      <c r="L86">
        <f t="shared" si="8"/>
        <v>20.33333333366889</v>
      </c>
      <c r="M86" s="8">
        <f t="shared" si="6"/>
        <v>0.54467592592615899</v>
      </c>
      <c r="N86">
        <v>96.4</v>
      </c>
    </row>
    <row r="87" spans="1:14" x14ac:dyDescent="0.2">
      <c r="A87">
        <f>1030/60</f>
        <v>17.166666666666668</v>
      </c>
      <c r="B87" s="8">
        <f t="shared" si="7"/>
        <v>0.51469907407407411</v>
      </c>
      <c r="C87">
        <v>95.8</v>
      </c>
      <c r="L87">
        <f t="shared" si="8"/>
        <v>20.500000000335589</v>
      </c>
      <c r="M87" s="8">
        <f t="shared" si="6"/>
        <v>0.54479166666689971</v>
      </c>
      <c r="N87">
        <v>96.3</v>
      </c>
    </row>
    <row r="88" spans="1:14" x14ac:dyDescent="0.2">
      <c r="A88">
        <f>1040/60</f>
        <v>17.333333333333332</v>
      </c>
      <c r="B88" s="8">
        <f t="shared" si="7"/>
        <v>0.51481481481481484</v>
      </c>
      <c r="C88">
        <v>95.6</v>
      </c>
      <c r="L88">
        <f t="shared" si="8"/>
        <v>20.666666667002289</v>
      </c>
      <c r="M88" s="8">
        <f t="shared" si="6"/>
        <v>0.54490740740764043</v>
      </c>
      <c r="N88">
        <v>96.2</v>
      </c>
    </row>
    <row r="89" spans="1:14" x14ac:dyDescent="0.2">
      <c r="A89">
        <f>1050/60</f>
        <v>17.5</v>
      </c>
      <c r="B89" s="8">
        <f t="shared" si="7"/>
        <v>0.51493055555555556</v>
      </c>
      <c r="C89">
        <v>95.5</v>
      </c>
      <c r="L89">
        <f t="shared" si="8"/>
        <v>20.833333333668989</v>
      </c>
      <c r="M89" s="8">
        <f t="shared" si="6"/>
        <v>0.54502314814838126</v>
      </c>
      <c r="N89">
        <v>96</v>
      </c>
    </row>
    <row r="90" spans="1:14" x14ac:dyDescent="0.2">
      <c r="A90">
        <f>1060/60</f>
        <v>17.666666666666668</v>
      </c>
      <c r="B90" s="8">
        <f t="shared" si="7"/>
        <v>0.51504629629629628</v>
      </c>
      <c r="C90">
        <v>95.5</v>
      </c>
      <c r="L90">
        <f t="shared" si="8"/>
        <v>21.000000000335689</v>
      </c>
      <c r="M90" s="8">
        <f t="shared" si="6"/>
        <v>0.54513888888912199</v>
      </c>
      <c r="N90">
        <v>95.9</v>
      </c>
    </row>
    <row r="91" spans="1:14" x14ac:dyDescent="0.2">
      <c r="A91">
        <f>1070/60</f>
        <v>17.833333333333332</v>
      </c>
      <c r="B91" s="8">
        <f t="shared" si="7"/>
        <v>0.515162037037037</v>
      </c>
      <c r="C91">
        <v>95.4</v>
      </c>
      <c r="L91">
        <f t="shared" si="8"/>
        <v>21.166666667002389</v>
      </c>
      <c r="M91" s="8">
        <f t="shared" si="6"/>
        <v>0.54525462962986282</v>
      </c>
      <c r="N91">
        <v>96.7</v>
      </c>
    </row>
    <row r="92" spans="1:14" x14ac:dyDescent="0.2">
      <c r="A92">
        <f>1080/60</f>
        <v>18</v>
      </c>
      <c r="B92" s="8">
        <f t="shared" si="7"/>
        <v>0.51527777777777772</v>
      </c>
      <c r="C92">
        <v>95.2</v>
      </c>
      <c r="L92">
        <f t="shared" si="8"/>
        <v>21.333333333669088</v>
      </c>
      <c r="M92" s="8">
        <f t="shared" si="6"/>
        <v>0.54537037037060354</v>
      </c>
      <c r="N92">
        <v>95.7</v>
      </c>
    </row>
    <row r="93" spans="1:14" x14ac:dyDescent="0.2">
      <c r="A93">
        <f>1090/60</f>
        <v>18.166666666666668</v>
      </c>
      <c r="B93" s="8">
        <f t="shared" si="7"/>
        <v>0.51539351851851856</v>
      </c>
      <c r="C93">
        <v>95.2</v>
      </c>
      <c r="L93">
        <f t="shared" si="8"/>
        <v>21.500000000335788</v>
      </c>
      <c r="M93" s="8">
        <f t="shared" si="6"/>
        <v>0.54548611111134426</v>
      </c>
      <c r="N93">
        <v>95.4</v>
      </c>
    </row>
    <row r="94" spans="1:14" x14ac:dyDescent="0.2">
      <c r="A94">
        <f>1100/60</f>
        <v>18.333333333333332</v>
      </c>
      <c r="B94" s="8">
        <f t="shared" si="7"/>
        <v>0.51550925925925928</v>
      </c>
      <c r="C94">
        <v>95.1</v>
      </c>
      <c r="L94">
        <f t="shared" si="8"/>
        <v>21.666666667002488</v>
      </c>
      <c r="M94" s="8">
        <f t="shared" si="6"/>
        <v>0.5456018518520851</v>
      </c>
      <c r="N94">
        <v>96.4</v>
      </c>
    </row>
    <row r="95" spans="1:14" x14ac:dyDescent="0.2">
      <c r="A95">
        <f>1110/60</f>
        <v>18.5</v>
      </c>
      <c r="B95" s="8">
        <f t="shared" si="7"/>
        <v>0.515625</v>
      </c>
      <c r="C95">
        <v>95.1</v>
      </c>
      <c r="L95">
        <f t="shared" si="8"/>
        <v>21.833333333669188</v>
      </c>
      <c r="M95" s="8">
        <f t="shared" si="6"/>
        <v>0.54571759259282582</v>
      </c>
      <c r="N95">
        <v>95.2</v>
      </c>
    </row>
    <row r="96" spans="1:14" x14ac:dyDescent="0.2">
      <c r="A96">
        <f>1120/60</f>
        <v>18.666666666666668</v>
      </c>
      <c r="B96" s="8">
        <f t="shared" si="7"/>
        <v>0.51574074074074072</v>
      </c>
      <c r="C96">
        <v>95</v>
      </c>
      <c r="L96">
        <f t="shared" si="8"/>
        <v>22.000000000335888</v>
      </c>
      <c r="M96" s="8">
        <f t="shared" si="6"/>
        <v>0.54583333333356654</v>
      </c>
      <c r="N96">
        <v>95.1</v>
      </c>
    </row>
    <row r="97" spans="1:14" x14ac:dyDescent="0.2">
      <c r="A97">
        <f>1130/60</f>
        <v>18.833333333333332</v>
      </c>
      <c r="B97" s="8">
        <f t="shared" si="7"/>
        <v>0.51585648148148144</v>
      </c>
      <c r="C97">
        <v>94.9</v>
      </c>
      <c r="L97">
        <f t="shared" si="8"/>
        <v>22.166666667002588</v>
      </c>
      <c r="M97" s="8">
        <f t="shared" si="6"/>
        <v>0.54594907407430737</v>
      </c>
      <c r="N97">
        <v>95.1</v>
      </c>
    </row>
    <row r="98" spans="1:14" x14ac:dyDescent="0.2">
      <c r="A98">
        <f>1140/60</f>
        <v>19</v>
      </c>
      <c r="B98" s="8">
        <f t="shared" si="7"/>
        <v>0.51597222222222217</v>
      </c>
      <c r="C98">
        <v>94.8</v>
      </c>
      <c r="L98">
        <f t="shared" si="8"/>
        <v>22.333333333669287</v>
      </c>
      <c r="M98" s="8">
        <f t="shared" si="6"/>
        <v>0.54606481481504809</v>
      </c>
      <c r="N98">
        <v>95</v>
      </c>
    </row>
    <row r="99" spans="1:14" x14ac:dyDescent="0.2">
      <c r="A99">
        <f>1150/60</f>
        <v>19.166666666666668</v>
      </c>
      <c r="B99" s="8">
        <f t="shared" si="7"/>
        <v>0.516087962962963</v>
      </c>
      <c r="C99">
        <v>94.8</v>
      </c>
      <c r="L99">
        <f t="shared" si="8"/>
        <v>22.500000000335987</v>
      </c>
      <c r="M99" s="8">
        <f t="shared" si="6"/>
        <v>0.54618055555578893</v>
      </c>
      <c r="N99">
        <v>95</v>
      </c>
    </row>
    <row r="100" spans="1:14" x14ac:dyDescent="0.2">
      <c r="A100">
        <f>1160/60</f>
        <v>19.333333333333332</v>
      </c>
      <c r="B100" s="8">
        <f t="shared" si="7"/>
        <v>0.51620370370370372</v>
      </c>
      <c r="C100">
        <v>94.7</v>
      </c>
      <c r="L100">
        <f t="shared" si="8"/>
        <v>22.666666667002687</v>
      </c>
      <c r="M100" s="8">
        <f t="shared" si="6"/>
        <v>0.54629629629652965</v>
      </c>
      <c r="N100">
        <v>94.7</v>
      </c>
    </row>
    <row r="101" spans="1:14" x14ac:dyDescent="0.2">
      <c r="A101">
        <f>1170/60</f>
        <v>19.5</v>
      </c>
      <c r="B101" s="8">
        <f t="shared" si="7"/>
        <v>0.51631944444444444</v>
      </c>
      <c r="C101">
        <v>94.7</v>
      </c>
      <c r="L101">
        <f t="shared" si="8"/>
        <v>22.833333333669387</v>
      </c>
      <c r="M101" s="8">
        <f t="shared" si="6"/>
        <v>0.54641203703727037</v>
      </c>
      <c r="N101">
        <v>94.7</v>
      </c>
    </row>
    <row r="102" spans="1:14" x14ac:dyDescent="0.2">
      <c r="A102">
        <f>1180/60</f>
        <v>19.666666666666668</v>
      </c>
      <c r="B102" s="8">
        <f t="shared" si="7"/>
        <v>0.51643518518518516</v>
      </c>
      <c r="C102">
        <v>94.6</v>
      </c>
      <c r="L102">
        <f t="shared" si="8"/>
        <v>23.000000000336087</v>
      </c>
      <c r="M102" s="8">
        <f t="shared" si="6"/>
        <v>0.5465277777780112</v>
      </c>
      <c r="N102">
        <v>94.7</v>
      </c>
    </row>
    <row r="103" spans="1:14" x14ac:dyDescent="0.2">
      <c r="A103">
        <f>1190/60</f>
        <v>19.833333333333332</v>
      </c>
      <c r="B103" s="8">
        <f t="shared" si="7"/>
        <v>0.51655092592592589</v>
      </c>
      <c r="C103">
        <v>94.5</v>
      </c>
      <c r="L103">
        <f t="shared" si="8"/>
        <v>23.166666667002787</v>
      </c>
      <c r="M103" s="8">
        <f t="shared" si="6"/>
        <v>0.54664351851875193</v>
      </c>
      <c r="N103">
        <v>94.6</v>
      </c>
    </row>
    <row r="104" spans="1:14" x14ac:dyDescent="0.2">
      <c r="A104">
        <f>1200/60</f>
        <v>20</v>
      </c>
      <c r="B104" s="8">
        <f t="shared" si="7"/>
        <v>0.51666666666666661</v>
      </c>
      <c r="C104">
        <v>94.6</v>
      </c>
      <c r="L104">
        <f t="shared" si="8"/>
        <v>23.333333333669486</v>
      </c>
      <c r="M104" s="8">
        <f t="shared" si="6"/>
        <v>0.54675925925949265</v>
      </c>
      <c r="N104">
        <v>94.6</v>
      </c>
    </row>
    <row r="105" spans="1:14" x14ac:dyDescent="0.2">
      <c r="A105">
        <f>1210/60</f>
        <v>20.166666666666668</v>
      </c>
      <c r="B105" s="8">
        <f t="shared" si="7"/>
        <v>0.51678240740740744</v>
      </c>
      <c r="C105">
        <v>94.5</v>
      </c>
      <c r="L105">
        <f t="shared" si="8"/>
        <v>23.500000000336186</v>
      </c>
      <c r="M105" s="8">
        <f t="shared" si="6"/>
        <v>0.54687500000023348</v>
      </c>
      <c r="N105">
        <v>94.5</v>
      </c>
    </row>
    <row r="106" spans="1:14" x14ac:dyDescent="0.2">
      <c r="A106">
        <f>1220/60</f>
        <v>20.333333333333332</v>
      </c>
      <c r="B106" s="8">
        <f t="shared" si="7"/>
        <v>0.51689814814814816</v>
      </c>
      <c r="C106">
        <v>94.9</v>
      </c>
      <c r="L106">
        <f t="shared" si="8"/>
        <v>23.666666667002886</v>
      </c>
      <c r="M106" s="8">
        <f t="shared" si="6"/>
        <v>0.5469907407409742</v>
      </c>
      <c r="N106">
        <v>94.4</v>
      </c>
    </row>
    <row r="107" spans="1:14" x14ac:dyDescent="0.2">
      <c r="A107">
        <f>1230/60</f>
        <v>20.5</v>
      </c>
      <c r="B107" s="8">
        <f t="shared" si="7"/>
        <v>0.51701388888888888</v>
      </c>
      <c r="C107">
        <v>94.4</v>
      </c>
      <c r="L107">
        <f t="shared" si="8"/>
        <v>23.833333333669586</v>
      </c>
      <c r="M107" s="8">
        <f t="shared" si="6"/>
        <v>0.54710648148171503</v>
      </c>
      <c r="N107">
        <v>94.4</v>
      </c>
    </row>
    <row r="108" spans="1:14" x14ac:dyDescent="0.2">
      <c r="A108">
        <f>1240/60</f>
        <v>20.666666666666668</v>
      </c>
      <c r="B108" s="8">
        <f t="shared" si="7"/>
        <v>0.51712962962962961</v>
      </c>
      <c r="C108">
        <v>94.3</v>
      </c>
      <c r="L108">
        <f t="shared" si="8"/>
        <v>24.000000000336286</v>
      </c>
      <c r="M108" s="8">
        <f t="shared" si="6"/>
        <v>0.54722222222245576</v>
      </c>
      <c r="N108">
        <v>94.4</v>
      </c>
    </row>
    <row r="109" spans="1:14" x14ac:dyDescent="0.2">
      <c r="A109">
        <f>1250/60</f>
        <v>20.833333333333332</v>
      </c>
      <c r="B109" s="8">
        <f t="shared" si="7"/>
        <v>0.51724537037037033</v>
      </c>
      <c r="C109">
        <v>94.3</v>
      </c>
      <c r="L109">
        <f t="shared" si="8"/>
        <v>24.166666667002985</v>
      </c>
      <c r="M109" s="8">
        <f t="shared" si="6"/>
        <v>0.54733796296319648</v>
      </c>
      <c r="N109">
        <v>94.2</v>
      </c>
    </row>
    <row r="110" spans="1:14" x14ac:dyDescent="0.2">
      <c r="A110" s="3">
        <f>1260/60</f>
        <v>21</v>
      </c>
      <c r="B110" s="8">
        <f t="shared" si="7"/>
        <v>0.51736111111111105</v>
      </c>
      <c r="C110">
        <v>94.3</v>
      </c>
      <c r="L110">
        <f t="shared" si="8"/>
        <v>24.333333333669685</v>
      </c>
      <c r="M110" s="8">
        <f t="shared" si="6"/>
        <v>0.54745370370393731</v>
      </c>
      <c r="N110">
        <v>94.3</v>
      </c>
    </row>
    <row r="111" spans="1:14" x14ac:dyDescent="0.2">
      <c r="A111" s="3">
        <f>1270/60</f>
        <v>21.166666666666668</v>
      </c>
      <c r="B111" s="8">
        <f t="shared" si="7"/>
        <v>0.51747685185185188</v>
      </c>
      <c r="C111">
        <v>94.2</v>
      </c>
      <c r="L111">
        <f t="shared" si="8"/>
        <v>24.500000000336385</v>
      </c>
      <c r="M111" s="8">
        <f t="shared" si="6"/>
        <v>0.54756944444467803</v>
      </c>
      <c r="N111">
        <v>94.3</v>
      </c>
    </row>
    <row r="112" spans="1:14" x14ac:dyDescent="0.2">
      <c r="A112">
        <f>1280/60</f>
        <v>21.333333333333332</v>
      </c>
      <c r="B112" s="8">
        <f t="shared" si="7"/>
        <v>0.5175925925925926</v>
      </c>
      <c r="C112">
        <v>94.2</v>
      </c>
      <c r="L112">
        <f t="shared" si="8"/>
        <v>24.666666667003085</v>
      </c>
      <c r="M112" s="8">
        <f t="shared" si="6"/>
        <v>0.54768518518541875</v>
      </c>
      <c r="N112">
        <v>94.2</v>
      </c>
    </row>
    <row r="113" spans="1:14" x14ac:dyDescent="0.2">
      <c r="A113">
        <f>1290/60</f>
        <v>21.5</v>
      </c>
      <c r="B113" s="8">
        <f t="shared" si="7"/>
        <v>0.51770833333333333</v>
      </c>
      <c r="C113">
        <v>94.2</v>
      </c>
      <c r="L113">
        <f t="shared" si="8"/>
        <v>24.833333333669785</v>
      </c>
      <c r="M113" s="8">
        <f t="shared" si="6"/>
        <v>0.54780092592615959</v>
      </c>
      <c r="N113">
        <v>94.1</v>
      </c>
    </row>
    <row r="114" spans="1:14" x14ac:dyDescent="0.2">
      <c r="A114">
        <f>1300/60</f>
        <v>21.666666666666668</v>
      </c>
      <c r="B114" s="8">
        <f t="shared" si="7"/>
        <v>0.51782407407407405</v>
      </c>
      <c r="C114">
        <v>94</v>
      </c>
      <c r="L114">
        <f t="shared" si="8"/>
        <v>25.000000000336485</v>
      </c>
      <c r="M114" s="8">
        <f t="shared" si="6"/>
        <v>0.54791666666690031</v>
      </c>
      <c r="N114">
        <v>94.1</v>
      </c>
    </row>
    <row r="115" spans="1:14" x14ac:dyDescent="0.2">
      <c r="A115">
        <f>1310/60</f>
        <v>21.833333333333332</v>
      </c>
      <c r="B115" s="8">
        <f t="shared" si="7"/>
        <v>0.51793981481481477</v>
      </c>
      <c r="C115">
        <v>94.1</v>
      </c>
      <c r="L115">
        <f t="shared" si="8"/>
        <v>25.166666667003184</v>
      </c>
      <c r="M115" s="8">
        <f t="shared" si="6"/>
        <v>0.54803240740764114</v>
      </c>
      <c r="N115">
        <v>94.1</v>
      </c>
    </row>
    <row r="116" spans="1:14" x14ac:dyDescent="0.2">
      <c r="A116">
        <f>1320/60</f>
        <v>22</v>
      </c>
      <c r="B116" s="8">
        <f t="shared" si="7"/>
        <v>0.51805555555555549</v>
      </c>
      <c r="C116">
        <v>94.1</v>
      </c>
      <c r="L116">
        <f t="shared" si="8"/>
        <v>25.333333333669884</v>
      </c>
      <c r="M116" s="8">
        <f t="shared" si="6"/>
        <v>0.54814814814838186</v>
      </c>
      <c r="N116">
        <v>94.1</v>
      </c>
    </row>
    <row r="117" spans="1:14" x14ac:dyDescent="0.2">
      <c r="A117">
        <f>1330/60</f>
        <v>22.166666666666668</v>
      </c>
      <c r="B117" s="8">
        <f t="shared" si="7"/>
        <v>0.51817129629629632</v>
      </c>
      <c r="C117">
        <v>94.1</v>
      </c>
      <c r="L117">
        <f t="shared" si="8"/>
        <v>25.500000000336584</v>
      </c>
      <c r="M117" s="8">
        <f t="shared" si="6"/>
        <v>0.54826388888912259</v>
      </c>
      <c r="N117">
        <v>94</v>
      </c>
    </row>
    <row r="118" spans="1:14" x14ac:dyDescent="0.2">
      <c r="A118">
        <f>1340/60</f>
        <v>22.333333333333332</v>
      </c>
      <c r="B118" s="8">
        <f t="shared" si="7"/>
        <v>0.51828703703703705</v>
      </c>
      <c r="C118">
        <v>94.1</v>
      </c>
      <c r="L118">
        <f t="shared" si="8"/>
        <v>25.666666667003284</v>
      </c>
      <c r="M118" s="8">
        <f t="shared" si="6"/>
        <v>0.54837962962986342</v>
      </c>
      <c r="N118">
        <v>94</v>
      </c>
    </row>
    <row r="119" spans="1:14" x14ac:dyDescent="0.2">
      <c r="A119">
        <f>1350/60</f>
        <v>22.5</v>
      </c>
      <c r="B119" s="8">
        <f t="shared" si="7"/>
        <v>0.51840277777777777</v>
      </c>
      <c r="C119">
        <v>94</v>
      </c>
      <c r="L119">
        <f t="shared" si="8"/>
        <v>25.833333333669984</v>
      </c>
      <c r="M119" s="8">
        <f t="shared" si="6"/>
        <v>0.54849537037060414</v>
      </c>
      <c r="N119">
        <v>94</v>
      </c>
    </row>
    <row r="120" spans="1:14" x14ac:dyDescent="0.2">
      <c r="A120">
        <f>1360/60</f>
        <v>22.666666666666668</v>
      </c>
      <c r="B120" s="8">
        <f t="shared" si="7"/>
        <v>0.51851851851851849</v>
      </c>
      <c r="C120">
        <v>94</v>
      </c>
      <c r="L120">
        <f t="shared" si="8"/>
        <v>26.000000000336684</v>
      </c>
      <c r="M120" s="8">
        <f t="shared" si="6"/>
        <v>0.54861111111134497</v>
      </c>
      <c r="N120">
        <v>93.9</v>
      </c>
    </row>
    <row r="121" spans="1:14" x14ac:dyDescent="0.2">
      <c r="A121">
        <f>1370/60</f>
        <v>22.833333333333332</v>
      </c>
      <c r="B121" s="8">
        <f t="shared" si="7"/>
        <v>0.51863425925925921</v>
      </c>
      <c r="C121">
        <v>94</v>
      </c>
      <c r="L121">
        <f t="shared" si="8"/>
        <v>26.166666667003383</v>
      </c>
      <c r="M121" s="8">
        <f t="shared" si="6"/>
        <v>0.5487268518520857</v>
      </c>
      <c r="N121">
        <v>94</v>
      </c>
    </row>
    <row r="122" spans="1:14" x14ac:dyDescent="0.2">
      <c r="A122">
        <f>1380/60</f>
        <v>23</v>
      </c>
      <c r="B122" s="8">
        <f t="shared" si="7"/>
        <v>0.51875000000000004</v>
      </c>
      <c r="C122">
        <v>94</v>
      </c>
      <c r="L122">
        <f t="shared" si="8"/>
        <v>26.333333333670083</v>
      </c>
      <c r="M122" s="8">
        <f t="shared" si="6"/>
        <v>0.54884259259282642</v>
      </c>
      <c r="N122">
        <v>93.9</v>
      </c>
    </row>
    <row r="123" spans="1:14" x14ac:dyDescent="0.2">
      <c r="A123">
        <f>1480/60</f>
        <v>24.666666666666668</v>
      </c>
      <c r="B123" s="8">
        <f t="shared" si="7"/>
        <v>0.51990740740740737</v>
      </c>
      <c r="C123">
        <v>93.9</v>
      </c>
      <c r="L123">
        <f t="shared" si="8"/>
        <v>26.500000000336783</v>
      </c>
      <c r="M123" s="8">
        <f t="shared" si="6"/>
        <v>0.54895833333356725</v>
      </c>
      <c r="N123">
        <v>94</v>
      </c>
    </row>
    <row r="124" spans="1:14" x14ac:dyDescent="0.2">
      <c r="A124">
        <f>A123+0.166666667</f>
        <v>24.833333333666669</v>
      </c>
      <c r="B124" s="8">
        <f t="shared" si="7"/>
        <v>0.52002314814837958</v>
      </c>
      <c r="C124">
        <v>93.9</v>
      </c>
      <c r="L124">
        <f t="shared" si="8"/>
        <v>26.666666667003483</v>
      </c>
      <c r="M124" s="8">
        <f t="shared" si="6"/>
        <v>0.54907407407430797</v>
      </c>
      <c r="N124">
        <v>93.9</v>
      </c>
    </row>
    <row r="125" spans="1:14" x14ac:dyDescent="0.2">
      <c r="A125">
        <f t="shared" ref="A125:A141" si="9">A124+0.166666667</f>
        <v>25.00000000066667</v>
      </c>
      <c r="B125" s="8">
        <f t="shared" si="7"/>
        <v>0.52013888888935189</v>
      </c>
      <c r="C125">
        <v>94</v>
      </c>
      <c r="L125">
        <f t="shared" si="8"/>
        <v>26.833333333670183</v>
      </c>
      <c r="M125" s="8">
        <f t="shared" si="6"/>
        <v>0.54918981481504869</v>
      </c>
      <c r="N125">
        <v>93.9</v>
      </c>
    </row>
    <row r="126" spans="1:14" x14ac:dyDescent="0.2">
      <c r="A126">
        <f t="shared" si="9"/>
        <v>25.166666667666671</v>
      </c>
      <c r="B126" s="8">
        <f t="shared" si="7"/>
        <v>0.52025462963032409</v>
      </c>
      <c r="C126">
        <v>93.9</v>
      </c>
      <c r="L126">
        <f t="shared" si="8"/>
        <v>27.000000000336883</v>
      </c>
      <c r="M126" s="8">
        <f t="shared" si="6"/>
        <v>0.54930555555578953</v>
      </c>
      <c r="N126">
        <v>93.8</v>
      </c>
    </row>
    <row r="127" spans="1:14" x14ac:dyDescent="0.2">
      <c r="A127">
        <f t="shared" si="9"/>
        <v>25.333333334666673</v>
      </c>
      <c r="B127" s="8">
        <f t="shared" si="7"/>
        <v>0.5203703703712963</v>
      </c>
      <c r="C127">
        <v>93.9</v>
      </c>
      <c r="L127">
        <f t="shared" si="8"/>
        <v>27.166666667003582</v>
      </c>
      <c r="M127" s="8">
        <f t="shared" si="6"/>
        <v>0.54942129629653025</v>
      </c>
      <c r="N127">
        <v>93.8</v>
      </c>
    </row>
    <row r="128" spans="1:14" x14ac:dyDescent="0.2">
      <c r="A128">
        <f t="shared" si="9"/>
        <v>25.500000001666674</v>
      </c>
      <c r="B128" s="8">
        <f t="shared" si="7"/>
        <v>0.5204861111122685</v>
      </c>
      <c r="C128">
        <v>93.9</v>
      </c>
      <c r="L128">
        <f t="shared" si="8"/>
        <v>27.333333333670282</v>
      </c>
      <c r="M128" s="8">
        <f t="shared" si="6"/>
        <v>0.54953703703727108</v>
      </c>
      <c r="N128">
        <v>93.8</v>
      </c>
    </row>
    <row r="129" spans="1:14" x14ac:dyDescent="0.2">
      <c r="A129">
        <f t="shared" si="9"/>
        <v>25.666666668666675</v>
      </c>
      <c r="B129" s="8">
        <f t="shared" si="7"/>
        <v>0.5206018518532407</v>
      </c>
      <c r="C129">
        <v>94</v>
      </c>
      <c r="L129">
        <f t="shared" si="8"/>
        <v>27.500000000336982</v>
      </c>
      <c r="M129" s="8">
        <f t="shared" si="6"/>
        <v>0.5496527777780118</v>
      </c>
      <c r="N129">
        <v>93.8</v>
      </c>
    </row>
    <row r="130" spans="1:14" x14ac:dyDescent="0.2">
      <c r="A130">
        <f t="shared" si="9"/>
        <v>25.833333335666676</v>
      </c>
      <c r="B130" s="8">
        <f t="shared" si="7"/>
        <v>0.52071759259421291</v>
      </c>
      <c r="C130">
        <v>93.9</v>
      </c>
      <c r="L130">
        <f t="shared" si="8"/>
        <v>27.666666667003682</v>
      </c>
      <c r="M130" s="8">
        <f t="shared" si="6"/>
        <v>0.54976851851875252</v>
      </c>
      <c r="N130">
        <v>93.9</v>
      </c>
    </row>
    <row r="131" spans="1:14" x14ac:dyDescent="0.2">
      <c r="A131">
        <f t="shared" si="9"/>
        <v>26.000000002666678</v>
      </c>
      <c r="B131" s="8">
        <f t="shared" si="7"/>
        <v>0.52083333333518522</v>
      </c>
      <c r="C131">
        <v>93.9</v>
      </c>
      <c r="L131">
        <f t="shared" si="8"/>
        <v>27.833333333670382</v>
      </c>
      <c r="M131" s="8">
        <f t="shared" si="6"/>
        <v>0.54988425925949336</v>
      </c>
      <c r="N131">
        <v>93.8</v>
      </c>
    </row>
    <row r="132" spans="1:14" x14ac:dyDescent="0.2">
      <c r="A132">
        <f t="shared" si="9"/>
        <v>26.166666669666679</v>
      </c>
      <c r="B132" s="8">
        <f t="shared" si="7"/>
        <v>0.52094907407615743</v>
      </c>
      <c r="C132">
        <v>93.9</v>
      </c>
      <c r="L132">
        <f t="shared" si="8"/>
        <v>28.000000000337081</v>
      </c>
      <c r="M132" s="8">
        <f t="shared" si="6"/>
        <v>0.55000000000023408</v>
      </c>
      <c r="N132">
        <v>93.8</v>
      </c>
    </row>
    <row r="133" spans="1:14" x14ac:dyDescent="0.2">
      <c r="A133">
        <f t="shared" si="9"/>
        <v>26.33333333666668</v>
      </c>
      <c r="B133" s="8">
        <f t="shared" si="7"/>
        <v>0.52106481481712963</v>
      </c>
      <c r="C133">
        <v>93.9</v>
      </c>
      <c r="L133">
        <f t="shared" si="8"/>
        <v>28.166666667003781</v>
      </c>
      <c r="M133" s="8">
        <f t="shared" si="6"/>
        <v>0.5501157407409748</v>
      </c>
      <c r="N133">
        <v>93.8</v>
      </c>
    </row>
    <row r="134" spans="1:14" x14ac:dyDescent="0.2">
      <c r="A134">
        <f t="shared" si="9"/>
        <v>26.500000003666681</v>
      </c>
      <c r="B134" s="8">
        <f t="shared" si="7"/>
        <v>0.52118055555810183</v>
      </c>
      <c r="C134">
        <v>93.9</v>
      </c>
      <c r="L134">
        <f t="shared" si="8"/>
        <v>28.333333333670481</v>
      </c>
      <c r="M134" s="8">
        <f t="shared" si="6"/>
        <v>0.55023148148171563</v>
      </c>
      <c r="N134">
        <v>93.8</v>
      </c>
    </row>
    <row r="135" spans="1:14" x14ac:dyDescent="0.2">
      <c r="A135">
        <f>A134+0.166666667</f>
        <v>26.666666670666682</v>
      </c>
      <c r="B135" s="8">
        <f t="shared" si="7"/>
        <v>0.52129629629907404</v>
      </c>
      <c r="C135">
        <v>93.9</v>
      </c>
      <c r="L135">
        <f t="shared" si="8"/>
        <v>28.500000000337181</v>
      </c>
      <c r="M135" s="8">
        <f t="shared" si="6"/>
        <v>0.55034722222245636</v>
      </c>
      <c r="N135">
        <v>93.9</v>
      </c>
    </row>
    <row r="136" spans="1:14" x14ac:dyDescent="0.2">
      <c r="A136">
        <f t="shared" si="9"/>
        <v>26.833333337666684</v>
      </c>
      <c r="B136" s="8">
        <f t="shared" si="7"/>
        <v>0.52141203704004635</v>
      </c>
      <c r="C136">
        <v>93.9</v>
      </c>
      <c r="L136">
        <f t="shared" si="8"/>
        <v>28.666666667003881</v>
      </c>
      <c r="M136" s="8">
        <f t="shared" ref="M136:M156" si="10">$M$3+L136/24/60</f>
        <v>0.55046296296319719</v>
      </c>
      <c r="N136">
        <v>93.8</v>
      </c>
    </row>
    <row r="137" spans="1:14" x14ac:dyDescent="0.2">
      <c r="A137">
        <f t="shared" si="9"/>
        <v>27.000000004666685</v>
      </c>
      <c r="B137" s="8">
        <f t="shared" si="7"/>
        <v>0.52152777778101855</v>
      </c>
      <c r="C137">
        <v>94</v>
      </c>
      <c r="L137">
        <f t="shared" si="8"/>
        <v>28.833333333670581</v>
      </c>
      <c r="M137" s="8">
        <f t="shared" si="10"/>
        <v>0.55057870370393791</v>
      </c>
      <c r="N137">
        <v>93.7</v>
      </c>
    </row>
    <row r="138" spans="1:14" x14ac:dyDescent="0.2">
      <c r="A138">
        <f t="shared" si="9"/>
        <v>27.166666671666686</v>
      </c>
      <c r="B138" s="8">
        <f t="shared" si="7"/>
        <v>0.52164351852199076</v>
      </c>
      <c r="C138">
        <v>93.9</v>
      </c>
      <c r="L138">
        <f t="shared" si="8"/>
        <v>29.00000000033728</v>
      </c>
      <c r="M138" s="8">
        <f t="shared" si="10"/>
        <v>0.55069444444467863</v>
      </c>
      <c r="N138">
        <v>93.7</v>
      </c>
    </row>
    <row r="139" spans="1:14" x14ac:dyDescent="0.2">
      <c r="A139">
        <f>A138+0.166666667</f>
        <v>27.333333338666687</v>
      </c>
      <c r="B139" s="8">
        <f t="shared" ref="B139:B144" si="11">$B$3+A139/24/60</f>
        <v>0.52175925926296296</v>
      </c>
      <c r="C139">
        <v>93.9</v>
      </c>
      <c r="L139">
        <f t="shared" si="8"/>
        <v>29.16666666700398</v>
      </c>
      <c r="M139" s="8">
        <f t="shared" si="10"/>
        <v>0.55081018518541947</v>
      </c>
      <c r="N139">
        <v>93.6</v>
      </c>
    </row>
    <row r="140" spans="1:14" x14ac:dyDescent="0.2">
      <c r="A140">
        <v>27.5</v>
      </c>
      <c r="B140" s="8">
        <f t="shared" si="11"/>
        <v>0.52187499999999998</v>
      </c>
      <c r="C140">
        <v>93.8</v>
      </c>
      <c r="L140">
        <f t="shared" si="8"/>
        <v>29.33333333367068</v>
      </c>
      <c r="M140" s="8">
        <f t="shared" si="10"/>
        <v>0.55092592592616019</v>
      </c>
      <c r="N140">
        <v>93.4</v>
      </c>
    </row>
    <row r="141" spans="1:14" x14ac:dyDescent="0.2">
      <c r="A141">
        <f t="shared" si="9"/>
        <v>27.666666667000001</v>
      </c>
      <c r="B141" s="8">
        <f t="shared" si="11"/>
        <v>0.52199074074097218</v>
      </c>
      <c r="C141">
        <v>93.9</v>
      </c>
      <c r="L141">
        <f t="shared" si="8"/>
        <v>29.50000000033738</v>
      </c>
      <c r="M141" s="8">
        <f t="shared" si="10"/>
        <v>0.55104166666690091</v>
      </c>
      <c r="N141">
        <v>93.6</v>
      </c>
    </row>
    <row r="142" spans="1:14" x14ac:dyDescent="0.2">
      <c r="A142">
        <f>A141+0.166666667</f>
        <v>27.833333334000002</v>
      </c>
      <c r="B142" s="8">
        <f t="shared" si="11"/>
        <v>0.52210648148194438</v>
      </c>
      <c r="C142">
        <v>93.9</v>
      </c>
      <c r="L142">
        <f t="shared" si="8"/>
        <v>29.66666666700408</v>
      </c>
      <c r="M142" s="8">
        <f t="shared" si="10"/>
        <v>0.55115740740764174</v>
      </c>
      <c r="N142">
        <v>93.7</v>
      </c>
    </row>
    <row r="143" spans="1:14" x14ac:dyDescent="0.2">
      <c r="A143">
        <f>A142+0.166666667</f>
        <v>28.000000001000004</v>
      </c>
      <c r="B143" s="8">
        <f t="shared" si="11"/>
        <v>0.5222222222229167</v>
      </c>
      <c r="C143">
        <v>93.9</v>
      </c>
      <c r="L143">
        <f t="shared" si="8"/>
        <v>29.83333333367078</v>
      </c>
      <c r="M143" s="8">
        <f t="shared" si="10"/>
        <v>0.55127314814838246</v>
      </c>
      <c r="N143">
        <v>93.7</v>
      </c>
    </row>
    <row r="144" spans="1:14" x14ac:dyDescent="0.2">
      <c r="A144">
        <v>29</v>
      </c>
      <c r="B144" s="8">
        <f t="shared" si="11"/>
        <v>0.5229166666666667</v>
      </c>
      <c r="C144">
        <v>93.9</v>
      </c>
      <c r="L144">
        <f t="shared" si="8"/>
        <v>30.000000000337479</v>
      </c>
      <c r="M144" s="8">
        <f t="shared" si="10"/>
        <v>0.5513888888891233</v>
      </c>
      <c r="N144">
        <v>93.8</v>
      </c>
    </row>
    <row r="145" spans="2:14" x14ac:dyDescent="0.2">
      <c r="B145" s="8"/>
      <c r="L145">
        <f t="shared" si="8"/>
        <v>30.166666667004179</v>
      </c>
      <c r="M145" s="8">
        <f t="shared" si="10"/>
        <v>0.55150462962986402</v>
      </c>
      <c r="N145">
        <v>93.7</v>
      </c>
    </row>
    <row r="146" spans="2:14" x14ac:dyDescent="0.2">
      <c r="B146" s="8"/>
      <c r="L146">
        <f t="shared" si="8"/>
        <v>30.333333333670879</v>
      </c>
      <c r="M146" s="8">
        <f t="shared" si="10"/>
        <v>0.55162037037060474</v>
      </c>
      <c r="N146">
        <v>93.7</v>
      </c>
    </row>
    <row r="147" spans="2:14" x14ac:dyDescent="0.2">
      <c r="B147" s="8"/>
      <c r="L147">
        <f t="shared" si="8"/>
        <v>30.500000000337579</v>
      </c>
      <c r="M147" s="8">
        <f t="shared" si="10"/>
        <v>0.55173611111134557</v>
      </c>
      <c r="N147">
        <v>93.7</v>
      </c>
    </row>
    <row r="148" spans="2:14" x14ac:dyDescent="0.2">
      <c r="B148" s="8"/>
      <c r="L148">
        <f t="shared" si="8"/>
        <v>30.666666667004279</v>
      </c>
      <c r="M148" s="8">
        <f t="shared" si="10"/>
        <v>0.55185185185208629</v>
      </c>
      <c r="N148">
        <v>93.6</v>
      </c>
    </row>
    <row r="149" spans="2:14" x14ac:dyDescent="0.2">
      <c r="B149" s="8"/>
      <c r="L149">
        <f t="shared" ref="L149:L156" si="12">L148+0.1666666666667</f>
        <v>30.833333333670979</v>
      </c>
      <c r="M149" s="8">
        <f t="shared" si="10"/>
        <v>0.55196759259282713</v>
      </c>
      <c r="N149">
        <v>93.7</v>
      </c>
    </row>
    <row r="150" spans="2:14" x14ac:dyDescent="0.2">
      <c r="B150" s="8"/>
      <c r="L150">
        <f t="shared" si="12"/>
        <v>31.000000000337678</v>
      </c>
      <c r="M150" s="8">
        <f t="shared" si="10"/>
        <v>0.55208333333356785</v>
      </c>
      <c r="N150">
        <v>93.8</v>
      </c>
    </row>
    <row r="151" spans="2:14" x14ac:dyDescent="0.2">
      <c r="B151" s="8"/>
      <c r="L151">
        <f t="shared" si="12"/>
        <v>31.166666667004378</v>
      </c>
      <c r="M151" s="8">
        <f t="shared" si="10"/>
        <v>0.55219907407430857</v>
      </c>
      <c r="N151">
        <v>93.7</v>
      </c>
    </row>
    <row r="152" spans="2:14" x14ac:dyDescent="0.2">
      <c r="B152" s="8"/>
      <c r="L152">
        <f t="shared" si="12"/>
        <v>31.333333333671078</v>
      </c>
      <c r="M152" s="8">
        <f t="shared" si="10"/>
        <v>0.5523148148150494</v>
      </c>
      <c r="N152">
        <v>93.7</v>
      </c>
    </row>
    <row r="153" spans="2:14" x14ac:dyDescent="0.2">
      <c r="B153" s="8"/>
      <c r="L153">
        <f t="shared" si="12"/>
        <v>31.500000000337778</v>
      </c>
      <c r="M153" s="8">
        <f t="shared" si="10"/>
        <v>0.55243055555579013</v>
      </c>
      <c r="N153">
        <v>93.6</v>
      </c>
    </row>
    <row r="154" spans="2:14" x14ac:dyDescent="0.2">
      <c r="B154" s="8"/>
      <c r="L154">
        <f t="shared" si="12"/>
        <v>31.666666667004478</v>
      </c>
      <c r="M154" s="8">
        <f t="shared" si="10"/>
        <v>0.55254629629653085</v>
      </c>
      <c r="N154">
        <v>93.6</v>
      </c>
    </row>
    <row r="155" spans="2:14" x14ac:dyDescent="0.2">
      <c r="B155" s="8"/>
      <c r="L155">
        <f t="shared" si="12"/>
        <v>31.833333333671177</v>
      </c>
      <c r="M155" s="8">
        <f t="shared" si="10"/>
        <v>0.55266203703727168</v>
      </c>
      <c r="N155">
        <v>93.6</v>
      </c>
    </row>
    <row r="156" spans="2:14" x14ac:dyDescent="0.2">
      <c r="B156" s="8"/>
      <c r="L156">
        <f t="shared" si="12"/>
        <v>32.000000000337877</v>
      </c>
      <c r="M156" s="8">
        <f t="shared" si="10"/>
        <v>0.5527777777780124</v>
      </c>
      <c r="N156">
        <v>93.7</v>
      </c>
    </row>
    <row r="157" spans="2:14" x14ac:dyDescent="0.2">
      <c r="B157" s="8"/>
    </row>
    <row r="158" spans="2:14" x14ac:dyDescent="0.2">
      <c r="B158" s="8"/>
    </row>
    <row r="159" spans="2:14" x14ac:dyDescent="0.2">
      <c r="B159" s="8"/>
    </row>
    <row r="160" spans="2:14" x14ac:dyDescent="0.2">
      <c r="B160" s="8"/>
    </row>
    <row r="161" spans="2:2" x14ac:dyDescent="0.2">
      <c r="B161" s="8"/>
    </row>
    <row r="162" spans="2:2" x14ac:dyDescent="0.2">
      <c r="B162" s="8"/>
    </row>
    <row r="163" spans="2:2" x14ac:dyDescent="0.2">
      <c r="B163" s="8"/>
    </row>
    <row r="164" spans="2:2" x14ac:dyDescent="0.2">
      <c r="B164" s="8"/>
    </row>
    <row r="165" spans="2:2" x14ac:dyDescent="0.2">
      <c r="B165" s="8"/>
    </row>
    <row r="166" spans="2:2" x14ac:dyDescent="0.2">
      <c r="B166" s="8"/>
    </row>
    <row r="167" spans="2:2" x14ac:dyDescent="0.2">
      <c r="B167" s="8"/>
    </row>
    <row r="168" spans="2:2" x14ac:dyDescent="0.2">
      <c r="B168" s="8"/>
    </row>
    <row r="169" spans="2:2" x14ac:dyDescent="0.2">
      <c r="B169" s="8"/>
    </row>
    <row r="170" spans="2:2" x14ac:dyDescent="0.2">
      <c r="B170" s="8"/>
    </row>
    <row r="171" spans="2:2" x14ac:dyDescent="0.2">
      <c r="B171" s="8"/>
    </row>
    <row r="172" spans="2:2" x14ac:dyDescent="0.2">
      <c r="B172" s="8"/>
    </row>
    <row r="173" spans="2:2" x14ac:dyDescent="0.2">
      <c r="B173" s="8"/>
    </row>
    <row r="174" spans="2:2" x14ac:dyDescent="0.2">
      <c r="B174" s="8"/>
    </row>
    <row r="175" spans="2:2" x14ac:dyDescent="0.2">
      <c r="B175" s="8"/>
    </row>
    <row r="176" spans="2:2" x14ac:dyDescent="0.2">
      <c r="B176" s="8"/>
    </row>
    <row r="177" spans="2:2" x14ac:dyDescent="0.2">
      <c r="B177" s="8"/>
    </row>
    <row r="178" spans="2:2" x14ac:dyDescent="0.2">
      <c r="B178" s="8"/>
    </row>
    <row r="179" spans="2:2" x14ac:dyDescent="0.2">
      <c r="B179" s="8"/>
    </row>
    <row r="180" spans="2:2" x14ac:dyDescent="0.2">
      <c r="B180" s="8"/>
    </row>
    <row r="181" spans="2:2" x14ac:dyDescent="0.2">
      <c r="B181" s="8"/>
    </row>
    <row r="182" spans="2:2" x14ac:dyDescent="0.2">
      <c r="B182" s="8"/>
    </row>
    <row r="183" spans="2:2" x14ac:dyDescent="0.2">
      <c r="B183" s="8"/>
    </row>
    <row r="184" spans="2:2" x14ac:dyDescent="0.2">
      <c r="B184" s="8"/>
    </row>
    <row r="185" spans="2:2" x14ac:dyDescent="0.2">
      <c r="B185" s="8"/>
    </row>
    <row r="186" spans="2:2" x14ac:dyDescent="0.2">
      <c r="B186" s="8"/>
    </row>
    <row r="187" spans="2:2" x14ac:dyDescent="0.2">
      <c r="B187" s="8"/>
    </row>
    <row r="188" spans="2:2" x14ac:dyDescent="0.2">
      <c r="B188" s="8"/>
    </row>
    <row r="189" spans="2:2" x14ac:dyDescent="0.2">
      <c r="B189" s="8"/>
    </row>
    <row r="190" spans="2:2" x14ac:dyDescent="0.2">
      <c r="B190" s="8"/>
    </row>
    <row r="191" spans="2:2" x14ac:dyDescent="0.2">
      <c r="B191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4D59-6C04-3B4C-AB22-F7A126E741F3}">
  <dimension ref="A1:K78"/>
  <sheetViews>
    <sheetView topLeftCell="A34" workbookViewId="0">
      <selection activeCell="K16" sqref="K16"/>
    </sheetView>
  </sheetViews>
  <sheetFormatPr baseColWidth="10" defaultRowHeight="16" x14ac:dyDescent="0.2"/>
  <cols>
    <col min="7" max="7" width="11.83203125" bestFit="1" customWidth="1"/>
  </cols>
  <sheetData>
    <row r="1" spans="1:11" ht="26" x14ac:dyDescent="0.3">
      <c r="A1" s="10" t="s">
        <v>10</v>
      </c>
      <c r="B1" s="11"/>
    </row>
    <row r="2" spans="1:11" x14ac:dyDescent="0.2">
      <c r="F2" s="3" t="s">
        <v>50</v>
      </c>
      <c r="G2" t="s">
        <v>51</v>
      </c>
    </row>
    <row r="3" spans="1:11" x14ac:dyDescent="0.2">
      <c r="A3" s="3"/>
      <c r="F3" s="3" t="s">
        <v>52</v>
      </c>
      <c r="G3" s="14">
        <v>44743.447222222225</v>
      </c>
    </row>
    <row r="4" spans="1:11" x14ac:dyDescent="0.2">
      <c r="A4" s="3"/>
      <c r="B4" s="8"/>
    </row>
    <row r="5" spans="1:11" x14ac:dyDescent="0.2">
      <c r="F5" t="s">
        <v>11</v>
      </c>
      <c r="G5" t="s">
        <v>53</v>
      </c>
      <c r="H5" t="s">
        <v>54</v>
      </c>
      <c r="I5" t="s">
        <v>55</v>
      </c>
      <c r="J5" t="s">
        <v>56</v>
      </c>
      <c r="K5" t="s">
        <v>57</v>
      </c>
    </row>
    <row r="6" spans="1:11" x14ac:dyDescent="0.2">
      <c r="A6" s="3"/>
      <c r="B6" s="3"/>
      <c r="C6" s="3"/>
      <c r="F6">
        <v>35</v>
      </c>
      <c r="G6">
        <v>0</v>
      </c>
      <c r="H6">
        <v>0</v>
      </c>
      <c r="I6">
        <f>F6/100</f>
        <v>0.35</v>
      </c>
      <c r="K6">
        <f>SUM(J6:J24)</f>
        <v>7.6230000000000006E-2</v>
      </c>
    </row>
    <row r="7" spans="1:11" x14ac:dyDescent="0.2">
      <c r="F7">
        <v>50</v>
      </c>
      <c r="G7">
        <v>4</v>
      </c>
      <c r="H7">
        <v>0.06</v>
      </c>
      <c r="I7">
        <f>(F7/100+(F8/100-F7/100)/2)</f>
        <v>0.65</v>
      </c>
      <c r="J7">
        <f t="shared" ref="J7:J8" si="0">(I7-I6)*(G7/100)*H7</f>
        <v>7.2000000000000005E-4</v>
      </c>
    </row>
    <row r="8" spans="1:11" x14ac:dyDescent="0.2">
      <c r="F8">
        <v>80</v>
      </c>
      <c r="G8">
        <v>50</v>
      </c>
      <c r="H8">
        <v>0.04</v>
      </c>
      <c r="I8">
        <f>(F8/100+(F9/100-F8/100)/2)</f>
        <v>0.95000000000000007</v>
      </c>
      <c r="J8">
        <f t="shared" si="0"/>
        <v>6.000000000000001E-3</v>
      </c>
    </row>
    <row r="9" spans="1:11" x14ac:dyDescent="0.2">
      <c r="F9">
        <v>110</v>
      </c>
      <c r="G9">
        <v>50</v>
      </c>
      <c r="H9">
        <v>0.09</v>
      </c>
      <c r="I9">
        <f>(F9/100+(F10/100-F9/100)/2)</f>
        <v>1.3</v>
      </c>
      <c r="J9">
        <f>(I9-I8)*(G9/100)*H9</f>
        <v>1.575E-2</v>
      </c>
    </row>
    <row r="10" spans="1:11" x14ac:dyDescent="0.2">
      <c r="F10">
        <v>150</v>
      </c>
      <c r="G10">
        <v>44</v>
      </c>
      <c r="H10">
        <v>0.11</v>
      </c>
      <c r="I10">
        <f t="shared" ref="I10:I23" si="1">(F10/100+(F11/100-F10/100)/2)</f>
        <v>1.65</v>
      </c>
      <c r="J10">
        <f t="shared" ref="J10:J23" si="2">(I10-I9)*(G10/100)*H10</f>
        <v>1.6939999999999993E-2</v>
      </c>
    </row>
    <row r="11" spans="1:11" x14ac:dyDescent="0.2">
      <c r="F11">
        <v>180</v>
      </c>
      <c r="G11">
        <v>38</v>
      </c>
      <c r="H11">
        <v>0.14000000000000001</v>
      </c>
      <c r="I11">
        <f t="shared" si="1"/>
        <v>1.9500000000000002</v>
      </c>
      <c r="J11">
        <f t="shared" si="2"/>
        <v>1.5960000000000016E-2</v>
      </c>
    </row>
    <row r="12" spans="1:11" x14ac:dyDescent="0.2">
      <c r="F12">
        <v>210</v>
      </c>
      <c r="G12">
        <v>28</v>
      </c>
      <c r="H12">
        <v>0.11</v>
      </c>
      <c r="I12">
        <f t="shared" si="1"/>
        <v>2.2999999999999998</v>
      </c>
      <c r="J12">
        <f t="shared" si="2"/>
        <v>1.0779999999999989E-2</v>
      </c>
    </row>
    <row r="13" spans="1:11" x14ac:dyDescent="0.2">
      <c r="F13">
        <v>250</v>
      </c>
      <c r="G13">
        <v>16</v>
      </c>
      <c r="H13">
        <v>0.18</v>
      </c>
      <c r="I13">
        <f t="shared" si="1"/>
        <v>2.65</v>
      </c>
      <c r="J13">
        <f t="shared" si="2"/>
        <v>1.0080000000000002E-2</v>
      </c>
    </row>
    <row r="14" spans="1:11" x14ac:dyDescent="0.2">
      <c r="F14">
        <v>280</v>
      </c>
      <c r="G14">
        <v>0</v>
      </c>
      <c r="H14">
        <v>0</v>
      </c>
      <c r="I14">
        <f t="shared" si="1"/>
        <v>1.4</v>
      </c>
      <c r="J14">
        <f t="shared" si="2"/>
        <v>0</v>
      </c>
    </row>
    <row r="15" spans="1:11" x14ac:dyDescent="0.2">
      <c r="A15" s="3"/>
      <c r="I15">
        <f t="shared" si="1"/>
        <v>0</v>
      </c>
      <c r="J15">
        <f t="shared" si="2"/>
        <v>0</v>
      </c>
    </row>
    <row r="16" spans="1:11" x14ac:dyDescent="0.2">
      <c r="A16" s="3"/>
      <c r="B16" s="8"/>
      <c r="I16">
        <f t="shared" si="1"/>
        <v>0</v>
      </c>
      <c r="J16">
        <f t="shared" si="2"/>
        <v>0</v>
      </c>
    </row>
    <row r="17" spans="1:10" x14ac:dyDescent="0.2">
      <c r="I17">
        <f t="shared" si="1"/>
        <v>0</v>
      </c>
      <c r="J17">
        <f t="shared" si="2"/>
        <v>0</v>
      </c>
    </row>
    <row r="18" spans="1:10" x14ac:dyDescent="0.2">
      <c r="A18" s="3"/>
      <c r="B18" s="3"/>
      <c r="C18" s="3"/>
      <c r="I18">
        <f t="shared" si="1"/>
        <v>0</v>
      </c>
      <c r="J18">
        <f t="shared" si="2"/>
        <v>0</v>
      </c>
    </row>
    <row r="19" spans="1:10" x14ac:dyDescent="0.2">
      <c r="I19">
        <f t="shared" si="1"/>
        <v>0</v>
      </c>
      <c r="J19">
        <f t="shared" si="2"/>
        <v>0</v>
      </c>
    </row>
    <row r="20" spans="1:10" x14ac:dyDescent="0.2">
      <c r="I20">
        <f t="shared" si="1"/>
        <v>0</v>
      </c>
      <c r="J20">
        <f t="shared" si="2"/>
        <v>0</v>
      </c>
    </row>
    <row r="21" spans="1:10" x14ac:dyDescent="0.2">
      <c r="I21">
        <f t="shared" si="1"/>
        <v>0</v>
      </c>
      <c r="J21">
        <f t="shared" si="2"/>
        <v>0</v>
      </c>
    </row>
    <row r="22" spans="1:10" x14ac:dyDescent="0.2">
      <c r="I22">
        <f t="shared" si="1"/>
        <v>0</v>
      </c>
      <c r="J22">
        <f t="shared" si="2"/>
        <v>0</v>
      </c>
    </row>
    <row r="23" spans="1:10" x14ac:dyDescent="0.2">
      <c r="I23">
        <f t="shared" si="1"/>
        <v>0</v>
      </c>
      <c r="J23">
        <f t="shared" si="2"/>
        <v>0</v>
      </c>
    </row>
    <row r="27" spans="1:10" x14ac:dyDescent="0.2">
      <c r="A27" s="3"/>
      <c r="F27" s="3"/>
    </row>
    <row r="28" spans="1:10" x14ac:dyDescent="0.2">
      <c r="A28" s="3"/>
      <c r="B28" s="8"/>
      <c r="F28" s="3"/>
      <c r="G28" s="8"/>
    </row>
    <row r="30" spans="1:10" x14ac:dyDescent="0.2">
      <c r="A30" s="3"/>
      <c r="B30" s="3"/>
      <c r="C30" s="3"/>
    </row>
    <row r="41" spans="1:3" x14ac:dyDescent="0.2">
      <c r="A41" s="3"/>
    </row>
    <row r="42" spans="1:3" x14ac:dyDescent="0.2">
      <c r="A42" s="3"/>
      <c r="B42" s="8"/>
    </row>
    <row r="44" spans="1:3" x14ac:dyDescent="0.2">
      <c r="A44" s="3"/>
      <c r="B44" s="3"/>
      <c r="C44" s="3"/>
    </row>
    <row r="51" spans="6:11" x14ac:dyDescent="0.2">
      <c r="F51" s="3" t="s">
        <v>50</v>
      </c>
      <c r="G51" t="s">
        <v>58</v>
      </c>
    </row>
    <row r="52" spans="6:11" x14ac:dyDescent="0.2">
      <c r="F52" s="3" t="s">
        <v>52</v>
      </c>
      <c r="G52" s="8">
        <v>0.40347222222222223</v>
      </c>
    </row>
    <row r="55" spans="6:11" x14ac:dyDescent="0.2">
      <c r="F55" t="s">
        <v>11</v>
      </c>
      <c r="G55" t="s">
        <v>53</v>
      </c>
      <c r="H55" t="s">
        <v>54</v>
      </c>
      <c r="I55" t="s">
        <v>55</v>
      </c>
      <c r="J55" t="s">
        <v>56</v>
      </c>
      <c r="K55" t="s">
        <v>57</v>
      </c>
    </row>
    <row r="56" spans="6:11" x14ac:dyDescent="0.2">
      <c r="F56">
        <v>50</v>
      </c>
      <c r="G56">
        <v>0</v>
      </c>
      <c r="H56">
        <v>0</v>
      </c>
      <c r="I56">
        <f>F56/100</f>
        <v>0.5</v>
      </c>
      <c r="K56">
        <f>SUM(J56:J74)</f>
        <v>9.0885000000000021E-2</v>
      </c>
    </row>
    <row r="57" spans="6:11" x14ac:dyDescent="0.2">
      <c r="F57">
        <v>60</v>
      </c>
      <c r="G57">
        <v>40</v>
      </c>
      <c r="H57">
        <v>0.06</v>
      </c>
      <c r="I57">
        <f>(F57/100+(F58/100-F57/100)/2)</f>
        <v>0.7</v>
      </c>
      <c r="J57">
        <f t="shared" ref="J57:J58" si="3">(I57-I56)*(G57/100)*H57</f>
        <v>4.7999999999999987E-3</v>
      </c>
    </row>
    <row r="58" spans="6:11" x14ac:dyDescent="0.2">
      <c r="F58">
        <v>80</v>
      </c>
      <c r="G58">
        <v>38</v>
      </c>
      <c r="H58">
        <v>0.28000000000000003</v>
      </c>
      <c r="I58">
        <f>(F58/100+(F59/100-F58/100)/2)</f>
        <v>0.9</v>
      </c>
      <c r="J58">
        <f t="shared" si="3"/>
        <v>2.1280000000000011E-2</v>
      </c>
    </row>
    <row r="59" spans="6:11" x14ac:dyDescent="0.2">
      <c r="F59">
        <v>100</v>
      </c>
      <c r="G59">
        <v>30</v>
      </c>
      <c r="H59">
        <v>0.32</v>
      </c>
      <c r="I59">
        <f>(F59/100+(F60/100-F59/100)/2)</f>
        <v>1.1000000000000001</v>
      </c>
      <c r="J59">
        <f>(I59-I58)*(G59/100)*H59</f>
        <v>1.9200000000000005E-2</v>
      </c>
    </row>
    <row r="60" spans="6:11" x14ac:dyDescent="0.2">
      <c r="F60">
        <v>120</v>
      </c>
      <c r="G60">
        <v>40</v>
      </c>
      <c r="H60">
        <v>0.27</v>
      </c>
      <c r="I60">
        <f t="shared" ref="I60:I73" si="4">(F60/100+(F61/100-F60/100)/2)</f>
        <v>1.2999999999999998</v>
      </c>
      <c r="J60">
        <f t="shared" ref="J60:J73" si="5">(I60-I59)*(G60/100)*H60</f>
        <v>2.1599999999999977E-2</v>
      </c>
    </row>
    <row r="61" spans="6:11" x14ac:dyDescent="0.2">
      <c r="F61">
        <v>140</v>
      </c>
      <c r="G61">
        <v>42</v>
      </c>
      <c r="H61">
        <v>0.17</v>
      </c>
      <c r="I61">
        <f t="shared" si="4"/>
        <v>1.5</v>
      </c>
      <c r="J61">
        <f t="shared" si="5"/>
        <v>1.4280000000000013E-2</v>
      </c>
    </row>
    <row r="62" spans="6:11" x14ac:dyDescent="0.2">
      <c r="F62">
        <v>160</v>
      </c>
      <c r="G62">
        <v>38</v>
      </c>
      <c r="H62">
        <v>0.1</v>
      </c>
      <c r="I62">
        <f t="shared" si="4"/>
        <v>1.7000000000000002</v>
      </c>
      <c r="J62">
        <f t="shared" si="5"/>
        <v>7.6000000000000069E-3</v>
      </c>
    </row>
    <row r="63" spans="6:11" x14ac:dyDescent="0.2">
      <c r="F63">
        <v>180</v>
      </c>
      <c r="G63">
        <v>34</v>
      </c>
      <c r="H63">
        <v>0.05</v>
      </c>
      <c r="I63">
        <f t="shared" si="4"/>
        <v>1.8250000000000002</v>
      </c>
      <c r="J63">
        <f t="shared" si="5"/>
        <v>2.1250000000000002E-3</v>
      </c>
    </row>
    <row r="64" spans="6:11" x14ac:dyDescent="0.2">
      <c r="F64">
        <v>185</v>
      </c>
      <c r="G64">
        <v>0</v>
      </c>
      <c r="H64">
        <v>0</v>
      </c>
      <c r="I64">
        <f t="shared" si="4"/>
        <v>0.92500000000000004</v>
      </c>
      <c r="J64">
        <f t="shared" si="5"/>
        <v>0</v>
      </c>
    </row>
    <row r="65" spans="6:10" x14ac:dyDescent="0.2">
      <c r="I65">
        <f t="shared" si="4"/>
        <v>0</v>
      </c>
      <c r="J65">
        <f t="shared" si="5"/>
        <v>0</v>
      </c>
    </row>
    <row r="66" spans="6:10" x14ac:dyDescent="0.2">
      <c r="I66">
        <f t="shared" si="4"/>
        <v>0</v>
      </c>
      <c r="J66">
        <f t="shared" si="5"/>
        <v>0</v>
      </c>
    </row>
    <row r="67" spans="6:10" x14ac:dyDescent="0.2">
      <c r="I67">
        <f t="shared" si="4"/>
        <v>0</v>
      </c>
      <c r="J67">
        <f t="shared" si="5"/>
        <v>0</v>
      </c>
    </row>
    <row r="68" spans="6:10" x14ac:dyDescent="0.2">
      <c r="I68">
        <f t="shared" si="4"/>
        <v>0</v>
      </c>
      <c r="J68">
        <f t="shared" si="5"/>
        <v>0</v>
      </c>
    </row>
    <row r="69" spans="6:10" x14ac:dyDescent="0.2">
      <c r="I69">
        <f t="shared" si="4"/>
        <v>0</v>
      </c>
      <c r="J69">
        <f t="shared" si="5"/>
        <v>0</v>
      </c>
    </row>
    <row r="70" spans="6:10" x14ac:dyDescent="0.2">
      <c r="I70">
        <f t="shared" si="4"/>
        <v>0</v>
      </c>
      <c r="J70">
        <f t="shared" si="5"/>
        <v>0</v>
      </c>
    </row>
    <row r="71" spans="6:10" x14ac:dyDescent="0.2">
      <c r="I71">
        <f t="shared" si="4"/>
        <v>0</v>
      </c>
      <c r="J71">
        <f t="shared" si="5"/>
        <v>0</v>
      </c>
    </row>
    <row r="72" spans="6:10" x14ac:dyDescent="0.2">
      <c r="I72">
        <f t="shared" si="4"/>
        <v>0</v>
      </c>
      <c r="J72">
        <f t="shared" si="5"/>
        <v>0</v>
      </c>
    </row>
    <row r="73" spans="6:10" x14ac:dyDescent="0.2">
      <c r="I73">
        <f t="shared" si="4"/>
        <v>0</v>
      </c>
      <c r="J73">
        <f t="shared" si="5"/>
        <v>0</v>
      </c>
    </row>
    <row r="77" spans="6:10" x14ac:dyDescent="0.2">
      <c r="F77" s="3"/>
    </row>
    <row r="78" spans="6:10" x14ac:dyDescent="0.2">
      <c r="F78" s="3"/>
      <c r="G7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Conductivity</vt:lpstr>
      <vt:lpstr>width, depth, velocity</vt:lpstr>
      <vt:lpstr>downstream conductivity</vt:lpstr>
      <vt:lpstr>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2022-07-04T15:32:26Z</dcterms:created>
  <dcterms:modified xsi:type="dcterms:W3CDTF">2022-07-04T17:09:06Z</dcterms:modified>
</cp:coreProperties>
</file>