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garant/Crypto/Cardono/CIP50/pool-ranking-work/"/>
    </mc:Choice>
  </mc:AlternateContent>
  <xr:revisionPtr revIDLastSave="0" documentId="13_ncr:1_{EE27106A-8F2A-1B4F-9019-1E795FC57907}" xr6:coauthVersionLast="47" xr6:coauthVersionMax="47" xr10:uidLastSave="{00000000-0000-0000-0000-000000000000}"/>
  <bookViews>
    <workbookView xWindow="0" yWindow="500" windowWidth="28800" windowHeight="17500" xr2:uid="{1CC89FBF-51F8-744F-8A26-19DD256C40F2}"/>
  </bookViews>
  <sheets>
    <sheet name="Sheet1" sheetId="1" r:id="rId1"/>
  </sheets>
  <definedNames>
    <definedName name="_xlnm._FilterDatabase" localSheetId="0" hidden="1">Sheet1!$A$1:$X$37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1" l="1"/>
  <c r="B16" i="1"/>
  <c r="V16" i="1" s="1"/>
  <c r="T16" i="1" s="1"/>
  <c r="N16" i="1" s="1"/>
  <c r="Q11" i="1"/>
  <c r="Q24" i="1"/>
  <c r="Q9" i="1"/>
  <c r="Q25" i="1"/>
  <c r="Q23" i="1"/>
  <c r="Q26" i="1"/>
  <c r="Q22" i="1"/>
  <c r="Q19" i="1"/>
  <c r="Q2" i="1"/>
  <c r="Q13" i="1"/>
  <c r="Q27" i="1"/>
  <c r="Q20" i="1"/>
  <c r="Q28" i="1"/>
  <c r="Q4" i="1"/>
  <c r="Q29" i="1"/>
  <c r="Q30" i="1"/>
  <c r="Q31" i="1"/>
  <c r="Q32" i="1"/>
  <c r="Q17" i="1"/>
  <c r="Q33" i="1"/>
  <c r="Q34" i="1"/>
  <c r="Q6" i="1"/>
  <c r="Q35" i="1"/>
  <c r="Q36" i="1"/>
  <c r="Q37" i="1"/>
  <c r="Q3" i="1"/>
  <c r="Q12" i="1"/>
  <c r="Q10" i="1"/>
  <c r="Q5" i="1"/>
  <c r="Q38" i="1"/>
  <c r="Q7" i="1"/>
  <c r="Q8" i="1"/>
  <c r="Q39" i="1"/>
  <c r="Q15" i="1"/>
  <c r="Q16" i="1"/>
  <c r="Q18" i="1"/>
  <c r="Q40" i="1"/>
  <c r="Q21" i="1"/>
  <c r="R11" i="1"/>
  <c r="R24" i="1"/>
  <c r="R9" i="1"/>
  <c r="R25" i="1"/>
  <c r="R23" i="1"/>
  <c r="R26" i="1"/>
  <c r="R22" i="1"/>
  <c r="R19" i="1"/>
  <c r="R2" i="1"/>
  <c r="R13" i="1"/>
  <c r="R27" i="1"/>
  <c r="R20" i="1"/>
  <c r="R28" i="1"/>
  <c r="R4" i="1"/>
  <c r="R29" i="1"/>
  <c r="R30" i="1"/>
  <c r="R31" i="1"/>
  <c r="R32" i="1"/>
  <c r="R17" i="1"/>
  <c r="R33" i="1"/>
  <c r="R34" i="1"/>
  <c r="R6" i="1"/>
  <c r="R35" i="1"/>
  <c r="R36" i="1"/>
  <c r="R37" i="1"/>
  <c r="R3" i="1"/>
  <c r="R12" i="1"/>
  <c r="R10" i="1"/>
  <c r="R14" i="1"/>
  <c r="R5" i="1"/>
  <c r="R38" i="1"/>
  <c r="R7" i="1"/>
  <c r="R8" i="1"/>
  <c r="R15" i="1"/>
  <c r="R16" i="1"/>
  <c r="R18" i="1"/>
  <c r="R40" i="1"/>
  <c r="R21" i="1"/>
  <c r="V15" i="1"/>
  <c r="T15" i="1" s="1"/>
  <c r="N15" i="1" s="1"/>
  <c r="W15" i="1"/>
  <c r="P15" i="1" s="1"/>
  <c r="X15" i="1"/>
  <c r="F15" i="1" s="1"/>
  <c r="X16" i="1"/>
  <c r="V18" i="1"/>
  <c r="T18" i="1" s="1"/>
  <c r="N18" i="1" s="1"/>
  <c r="W18" i="1"/>
  <c r="P18" i="1" s="1"/>
  <c r="X18" i="1"/>
  <c r="F18" i="1" s="1"/>
  <c r="V40" i="1"/>
  <c r="W40" i="1"/>
  <c r="P40" i="1" s="1"/>
  <c r="X40" i="1"/>
  <c r="F40" i="1" s="1"/>
  <c r="X39" i="1"/>
  <c r="E39" i="1"/>
  <c r="O40" i="1" l="1"/>
  <c r="O18" i="1"/>
  <c r="K18" i="1" s="1"/>
  <c r="F39" i="1"/>
  <c r="O15" i="1"/>
  <c r="K15" i="1" s="1"/>
  <c r="W16" i="1"/>
  <c r="F16" i="1"/>
  <c r="T40" i="1"/>
  <c r="N40" i="1" s="1"/>
  <c r="W39" i="1"/>
  <c r="P39" i="1" s="1"/>
  <c r="V39" i="1"/>
  <c r="R39" i="1"/>
  <c r="U40" i="1"/>
  <c r="U18" i="1"/>
  <c r="S18" i="1" s="1"/>
  <c r="U15" i="1"/>
  <c r="S15" i="1" s="1"/>
  <c r="V11" i="1"/>
  <c r="V24" i="1"/>
  <c r="V9" i="1"/>
  <c r="V25" i="1"/>
  <c r="V23" i="1"/>
  <c r="V26" i="1"/>
  <c r="V22" i="1"/>
  <c r="V19" i="1"/>
  <c r="V2" i="1"/>
  <c r="V13" i="1"/>
  <c r="V27" i="1"/>
  <c r="V20" i="1"/>
  <c r="V28" i="1"/>
  <c r="V4" i="1"/>
  <c r="V29" i="1"/>
  <c r="V30" i="1"/>
  <c r="V31" i="1"/>
  <c r="V32" i="1"/>
  <c r="V17" i="1"/>
  <c r="V33" i="1"/>
  <c r="V34" i="1"/>
  <c r="V6" i="1"/>
  <c r="V35" i="1"/>
  <c r="V36" i="1"/>
  <c r="V37" i="1"/>
  <c r="V3" i="1"/>
  <c r="V12" i="1"/>
  <c r="V10" i="1"/>
  <c r="V14" i="1"/>
  <c r="V5" i="1"/>
  <c r="V38" i="1"/>
  <c r="V7" i="1"/>
  <c r="V8" i="1"/>
  <c r="V21" i="1"/>
  <c r="W11" i="1"/>
  <c r="P11" i="1" s="1"/>
  <c r="W24" i="1"/>
  <c r="P24" i="1" s="1"/>
  <c r="W9" i="1"/>
  <c r="P9" i="1" s="1"/>
  <c r="W25" i="1"/>
  <c r="P25" i="1" s="1"/>
  <c r="W23" i="1"/>
  <c r="P23" i="1" s="1"/>
  <c r="W26" i="1"/>
  <c r="P26" i="1" s="1"/>
  <c r="W22" i="1"/>
  <c r="P22" i="1" s="1"/>
  <c r="W19" i="1"/>
  <c r="P19" i="1" s="1"/>
  <c r="W2" i="1"/>
  <c r="P2" i="1" s="1"/>
  <c r="W13" i="1"/>
  <c r="P13" i="1" s="1"/>
  <c r="W27" i="1"/>
  <c r="P27" i="1" s="1"/>
  <c r="W20" i="1"/>
  <c r="P20" i="1" s="1"/>
  <c r="W28" i="1"/>
  <c r="P28" i="1" s="1"/>
  <c r="W4" i="1"/>
  <c r="P4" i="1" s="1"/>
  <c r="W29" i="1"/>
  <c r="P29" i="1" s="1"/>
  <c r="W30" i="1"/>
  <c r="P30" i="1" s="1"/>
  <c r="W31" i="1"/>
  <c r="P31" i="1" s="1"/>
  <c r="W32" i="1"/>
  <c r="P32" i="1" s="1"/>
  <c r="W17" i="1"/>
  <c r="P17" i="1" s="1"/>
  <c r="W33" i="1"/>
  <c r="P33" i="1" s="1"/>
  <c r="W34" i="1"/>
  <c r="P34" i="1" s="1"/>
  <c r="W6" i="1"/>
  <c r="P6" i="1" s="1"/>
  <c r="W35" i="1"/>
  <c r="P35" i="1" s="1"/>
  <c r="W36" i="1"/>
  <c r="P36" i="1" s="1"/>
  <c r="W37" i="1"/>
  <c r="P37" i="1" s="1"/>
  <c r="W3" i="1"/>
  <c r="P3" i="1" s="1"/>
  <c r="W12" i="1"/>
  <c r="P12" i="1" s="1"/>
  <c r="W10" i="1"/>
  <c r="P10" i="1" s="1"/>
  <c r="W14" i="1"/>
  <c r="P14" i="1" s="1"/>
  <c r="W5" i="1"/>
  <c r="P5" i="1" s="1"/>
  <c r="W38" i="1"/>
  <c r="P38" i="1" s="1"/>
  <c r="W7" i="1"/>
  <c r="P7" i="1" s="1"/>
  <c r="W8" i="1"/>
  <c r="P8" i="1" s="1"/>
  <c r="W21" i="1"/>
  <c r="P21" i="1" s="1"/>
  <c r="X11" i="1"/>
  <c r="X24" i="1"/>
  <c r="X9" i="1"/>
  <c r="X25" i="1"/>
  <c r="X23" i="1"/>
  <c r="X26" i="1"/>
  <c r="X22" i="1"/>
  <c r="X19" i="1"/>
  <c r="X2" i="1"/>
  <c r="X13" i="1"/>
  <c r="X27" i="1"/>
  <c r="X20" i="1"/>
  <c r="X28" i="1"/>
  <c r="X4" i="1"/>
  <c r="X29" i="1"/>
  <c r="X30" i="1"/>
  <c r="X31" i="1"/>
  <c r="X32" i="1"/>
  <c r="X17" i="1"/>
  <c r="X33" i="1"/>
  <c r="X34" i="1"/>
  <c r="X6" i="1"/>
  <c r="X35" i="1"/>
  <c r="X36" i="1"/>
  <c r="X37" i="1"/>
  <c r="X3" i="1"/>
  <c r="X12" i="1"/>
  <c r="X10" i="1"/>
  <c r="X14" i="1"/>
  <c r="X5" i="1"/>
  <c r="X38" i="1"/>
  <c r="X7" i="1"/>
  <c r="X8" i="1"/>
  <c r="F8" i="1" s="1"/>
  <c r="X21" i="1"/>
  <c r="Z38" i="1"/>
  <c r="U16" i="1" l="1"/>
  <c r="S16" i="1" s="1"/>
  <c r="P16" i="1"/>
  <c r="M18" i="1"/>
  <c r="L18" i="1"/>
  <c r="L15" i="1"/>
  <c r="M15" i="1"/>
  <c r="K40" i="1"/>
  <c r="O28" i="1"/>
  <c r="O34" i="1"/>
  <c r="O10" i="1"/>
  <c r="O33" i="1"/>
  <c r="O20" i="1"/>
  <c r="O12" i="1"/>
  <c r="O27" i="1"/>
  <c r="O9" i="1"/>
  <c r="O21" i="1"/>
  <c r="O3" i="1"/>
  <c r="O32" i="1"/>
  <c r="O13" i="1"/>
  <c r="O24" i="1"/>
  <c r="O16" i="1"/>
  <c r="K16" i="1" s="1"/>
  <c r="O8" i="1"/>
  <c r="O37" i="1"/>
  <c r="O31" i="1"/>
  <c r="O2" i="1"/>
  <c r="O11" i="1"/>
  <c r="O7" i="1"/>
  <c r="O36" i="1"/>
  <c r="O30" i="1"/>
  <c r="O19" i="1"/>
  <c r="O39" i="1"/>
  <c r="O17" i="1"/>
  <c r="O38" i="1"/>
  <c r="O35" i="1"/>
  <c r="O29" i="1"/>
  <c r="O22" i="1"/>
  <c r="O14" i="1"/>
  <c r="O23" i="1"/>
  <c r="O25" i="1"/>
  <c r="O5" i="1"/>
  <c r="O6" i="1"/>
  <c r="O4" i="1"/>
  <c r="O26" i="1"/>
  <c r="S40" i="1"/>
  <c r="T5" i="1"/>
  <c r="N5" i="1" s="1"/>
  <c r="T6" i="1"/>
  <c r="N6" i="1" s="1"/>
  <c r="T34" i="1"/>
  <c r="N34" i="1" s="1"/>
  <c r="T28" i="1"/>
  <c r="N28" i="1" s="1"/>
  <c r="T33" i="1"/>
  <c r="N33" i="1" s="1"/>
  <c r="T12" i="1"/>
  <c r="N12" i="1" s="1"/>
  <c r="T17" i="1"/>
  <c r="N17" i="1" s="1"/>
  <c r="T27" i="1"/>
  <c r="N27" i="1" s="1"/>
  <c r="T9" i="1"/>
  <c r="N9" i="1" s="1"/>
  <c r="T26" i="1"/>
  <c r="N26" i="1" s="1"/>
  <c r="U39" i="1"/>
  <c r="T21" i="1"/>
  <c r="N21" i="1" s="1"/>
  <c r="T3" i="1"/>
  <c r="N3" i="1" s="1"/>
  <c r="T32" i="1"/>
  <c r="N32" i="1" s="1"/>
  <c r="T13" i="1"/>
  <c r="N13" i="1" s="1"/>
  <c r="T24" i="1"/>
  <c r="N24" i="1" s="1"/>
  <c r="T8" i="1"/>
  <c r="N8" i="1" s="1"/>
  <c r="T37" i="1"/>
  <c r="T31" i="1"/>
  <c r="N31" i="1" s="1"/>
  <c r="T2" i="1"/>
  <c r="N2" i="1" s="1"/>
  <c r="T11" i="1"/>
  <c r="N11" i="1" s="1"/>
  <c r="T4" i="1"/>
  <c r="T39" i="1"/>
  <c r="N39" i="1" s="1"/>
  <c r="T25" i="1"/>
  <c r="T7" i="1"/>
  <c r="N7" i="1" s="1"/>
  <c r="T30" i="1"/>
  <c r="N30" i="1" s="1"/>
  <c r="T19" i="1"/>
  <c r="N19" i="1" s="1"/>
  <c r="T14" i="1"/>
  <c r="N14" i="1" s="1"/>
  <c r="T23" i="1"/>
  <c r="N23" i="1" s="1"/>
  <c r="T10" i="1"/>
  <c r="N10" i="1" s="1"/>
  <c r="T20" i="1"/>
  <c r="N20" i="1" s="1"/>
  <c r="T36" i="1"/>
  <c r="T38" i="1"/>
  <c r="N38" i="1" s="1"/>
  <c r="T35" i="1"/>
  <c r="N35" i="1" s="1"/>
  <c r="T29" i="1"/>
  <c r="N29" i="1" s="1"/>
  <c r="T22" i="1"/>
  <c r="N22" i="1" s="1"/>
  <c r="U2" i="1"/>
  <c r="U8" i="1"/>
  <c r="U37" i="1"/>
  <c r="U31" i="1"/>
  <c r="U5" i="1"/>
  <c r="U26" i="1"/>
  <c r="U36" i="1"/>
  <c r="U7" i="1"/>
  <c r="U14" i="1"/>
  <c r="U34" i="1"/>
  <c r="U28" i="1"/>
  <c r="U10" i="1"/>
  <c r="U33" i="1"/>
  <c r="U20" i="1"/>
  <c r="U30" i="1"/>
  <c r="U23" i="1"/>
  <c r="U25" i="1"/>
  <c r="U9" i="1"/>
  <c r="U12" i="1"/>
  <c r="U17" i="1"/>
  <c r="U27" i="1"/>
  <c r="U21" i="1"/>
  <c r="U3" i="1"/>
  <c r="U32" i="1"/>
  <c r="U13" i="1"/>
  <c r="U24" i="1"/>
  <c r="U11" i="1"/>
  <c r="U19" i="1"/>
  <c r="U38" i="1"/>
  <c r="S38" i="1" s="1"/>
  <c r="U29" i="1"/>
  <c r="U22" i="1"/>
  <c r="U6" i="1"/>
  <c r="U4" i="1"/>
  <c r="U35" i="1"/>
  <c r="K11" i="1" l="1"/>
  <c r="L40" i="1"/>
  <c r="M40" i="1"/>
  <c r="L16" i="1"/>
  <c r="M16" i="1"/>
  <c r="M11" i="1"/>
  <c r="L11" i="1"/>
  <c r="S30" i="1"/>
  <c r="S5" i="1"/>
  <c r="S6" i="1"/>
  <c r="S7" i="1"/>
  <c r="K12" i="1"/>
  <c r="K22" i="1"/>
  <c r="K28" i="1"/>
  <c r="K10" i="1"/>
  <c r="K14" i="1"/>
  <c r="K21" i="1"/>
  <c r="K3" i="1"/>
  <c r="K38" i="1"/>
  <c r="K17" i="1"/>
  <c r="K32" i="1"/>
  <c r="K33" i="1"/>
  <c r="K30" i="1"/>
  <c r="K7" i="1"/>
  <c r="K8" i="1"/>
  <c r="K9" i="1"/>
  <c r="K20" i="1"/>
  <c r="K27" i="1"/>
  <c r="S2" i="1"/>
  <c r="S35" i="1"/>
  <c r="S23" i="1"/>
  <c r="S21" i="1"/>
  <c r="S27" i="1"/>
  <c r="S33" i="1"/>
  <c r="S10" i="1"/>
  <c r="S17" i="1"/>
  <c r="S11" i="1"/>
  <c r="S12" i="1"/>
  <c r="S22" i="1"/>
  <c r="S37" i="1"/>
  <c r="N37" i="1"/>
  <c r="K37" i="1" s="1"/>
  <c r="S8" i="1"/>
  <c r="S31" i="1"/>
  <c r="S29" i="1"/>
  <c r="S20" i="1"/>
  <c r="S26" i="1"/>
  <c r="S25" i="1"/>
  <c r="N25" i="1"/>
  <c r="K25" i="1" s="1"/>
  <c r="S19" i="1"/>
  <c r="S36" i="1"/>
  <c r="N36" i="1"/>
  <c r="K36" i="1" s="1"/>
  <c r="S4" i="1"/>
  <c r="N4" i="1"/>
  <c r="K4" i="1" s="1"/>
  <c r="S28" i="1"/>
  <c r="S24" i="1"/>
  <c r="S34" i="1"/>
  <c r="K6" i="1"/>
  <c r="K34" i="1"/>
  <c r="S9" i="1"/>
  <c r="K35" i="1"/>
  <c r="S13" i="1"/>
  <c r="S14" i="1"/>
  <c r="K39" i="1"/>
  <c r="K31" i="1"/>
  <c r="K24" i="1"/>
  <c r="K26" i="1"/>
  <c r="S32" i="1"/>
  <c r="K23" i="1"/>
  <c r="S39" i="1"/>
  <c r="K5" i="1"/>
  <c r="K2" i="1"/>
  <c r="S3" i="1"/>
  <c r="K29" i="1"/>
  <c r="K13" i="1"/>
  <c r="K19" i="1"/>
  <c r="L6" i="1" l="1"/>
  <c r="M6" i="1"/>
  <c r="M10" i="1"/>
  <c r="L10" i="1"/>
  <c r="M29" i="1"/>
  <c r="L29" i="1"/>
  <c r="L37" i="1"/>
  <c r="M37" i="1"/>
  <c r="L8" i="1"/>
  <c r="M8" i="1"/>
  <c r="M31" i="1"/>
  <c r="L31" i="1"/>
  <c r="L7" i="1"/>
  <c r="M7" i="1"/>
  <c r="L39" i="1"/>
  <c r="M39" i="1"/>
  <c r="L30" i="1"/>
  <c r="M30" i="1"/>
  <c r="L5" i="1"/>
  <c r="M5" i="1"/>
  <c r="L33" i="1"/>
  <c r="M33" i="1"/>
  <c r="L28" i="1"/>
  <c r="M28" i="1"/>
  <c r="L4" i="1"/>
  <c r="M4" i="1"/>
  <c r="L32" i="1"/>
  <c r="M32" i="1"/>
  <c r="L22" i="1"/>
  <c r="M22" i="1"/>
  <c r="L23" i="1"/>
  <c r="M23" i="1"/>
  <c r="L27" i="1"/>
  <c r="M27" i="1"/>
  <c r="L17" i="1"/>
  <c r="M17" i="1"/>
  <c r="L12" i="1"/>
  <c r="M12" i="1"/>
  <c r="M19" i="1"/>
  <c r="L19" i="1"/>
  <c r="L36" i="1"/>
  <c r="M36" i="1"/>
  <c r="L20" i="1"/>
  <c r="M20" i="1"/>
  <c r="L38" i="1"/>
  <c r="M38" i="1"/>
  <c r="M24" i="1"/>
  <c r="L24" i="1"/>
  <c r="L21" i="1"/>
  <c r="M21" i="1"/>
  <c r="L25" i="1"/>
  <c r="M25" i="1"/>
  <c r="L14" i="1"/>
  <c r="M14" i="1"/>
  <c r="L2" i="1"/>
  <c r="M2" i="1"/>
  <c r="M35" i="1"/>
  <c r="L35" i="1"/>
  <c r="L13" i="1"/>
  <c r="M13" i="1"/>
  <c r="L26" i="1"/>
  <c r="M26" i="1"/>
  <c r="L34" i="1"/>
  <c r="M34" i="1"/>
  <c r="L9" i="1"/>
  <c r="M9" i="1"/>
  <c r="M3" i="1"/>
  <c r="L3" i="1"/>
</calcChain>
</file>

<file path=xl/sharedStrings.xml><?xml version="1.0" encoding="utf-8"?>
<sst xmlns="http://schemas.openxmlformats.org/spreadsheetml/2006/main" count="81" uniqueCount="80">
  <si>
    <t>rank_daedalus</t>
  </si>
  <si>
    <t>rank_adapools</t>
  </si>
  <si>
    <t>rank_eternl</t>
  </si>
  <si>
    <t>rank_cip50</t>
  </si>
  <si>
    <t>pool_ticker</t>
  </si>
  <si>
    <t>Notes:</t>
  </si>
  <si>
    <t>Daedalus rank based on 10,000 Ada stake amount</t>
  </si>
  <si>
    <t>EDEN</t>
  </si>
  <si>
    <t>PLUSH</t>
  </si>
  <si>
    <t>RAY4</t>
  </si>
  <si>
    <t>WAV7</t>
  </si>
  <si>
    <t>FAIR</t>
  </si>
  <si>
    <t>ATLAS</t>
  </si>
  <si>
    <t>KOPI</t>
  </si>
  <si>
    <t>OCTAS</t>
  </si>
  <si>
    <t>CLIO1</t>
  </si>
  <si>
    <t>STAKE</t>
  </si>
  <si>
    <t>BITA</t>
  </si>
  <si>
    <t>BSP</t>
  </si>
  <si>
    <t>FUND</t>
  </si>
  <si>
    <t>NODE</t>
  </si>
  <si>
    <t>VIPER</t>
  </si>
  <si>
    <t>CERO</t>
  </si>
  <si>
    <t>4ADA</t>
  </si>
  <si>
    <t>SECUR</t>
  </si>
  <si>
    <t>LEAF</t>
  </si>
  <si>
    <t>1PCT2</t>
  </si>
  <si>
    <t>CTEC</t>
  </si>
  <si>
    <t>DYNE</t>
  </si>
  <si>
    <t>AZUR2</t>
  </si>
  <si>
    <t>FEEL</t>
  </si>
  <si>
    <t>PPCX1</t>
  </si>
  <si>
    <t>TERA3</t>
  </si>
  <si>
    <t>ADAFR</t>
  </si>
  <si>
    <t>ST3AK</t>
  </si>
  <si>
    <t>AZUR3</t>
  </si>
  <si>
    <t>SKY</t>
  </si>
  <si>
    <t>QUEEN</t>
  </si>
  <si>
    <t>NKR</t>
  </si>
  <si>
    <t>NEDS3</t>
  </si>
  <si>
    <t>Daedalus rank pulled 07/28/2022</t>
  </si>
  <si>
    <t>Adapool, eternl rank pulled 07/29/22</t>
  </si>
  <si>
    <t>BALNC</t>
  </si>
  <si>
    <t>adapools.org</t>
  </si>
  <si>
    <t>adapools only list 1068 pools, for pools not ranked, given 2000 rank as default, until ranking equation impemented</t>
  </si>
  <si>
    <t>pledge</t>
  </si>
  <si>
    <t>margin</t>
  </si>
  <si>
    <t>fee</t>
  </si>
  <si>
    <t>saturation</t>
  </si>
  <si>
    <t>stake</t>
  </si>
  <si>
    <t>ROA e12</t>
  </si>
  <si>
    <t>fixed_fee_factor</t>
  </si>
  <si>
    <t>A</t>
  </si>
  <si>
    <t>B</t>
  </si>
  <si>
    <t>C</t>
  </si>
  <si>
    <t>D</t>
  </si>
  <si>
    <t>CIP-50 Pool Rank Parameters</t>
  </si>
  <si>
    <t>minFee</t>
  </si>
  <si>
    <t>poolLeverage</t>
  </si>
  <si>
    <t>poolStake</t>
  </si>
  <si>
    <t>saturationStake</t>
  </si>
  <si>
    <t>k</t>
  </si>
  <si>
    <t>L</t>
  </si>
  <si>
    <t>score_cip50</t>
  </si>
  <si>
    <t>poolLeverage/L</t>
  </si>
  <si>
    <t>poolStake/saturation</t>
  </si>
  <si>
    <t>max_check</t>
  </si>
  <si>
    <t>staking information pulled from eternl, cross checked a few against cardanoscan for sanity checks</t>
  </si>
  <si>
    <t>Total Circulating Supply, coinmarketcap 7/29/22 (note, not live supply, which is staked)</t>
  </si>
  <si>
    <t>TEST1</t>
  </si>
  <si>
    <t>TEST2</t>
  </si>
  <si>
    <t>TEST3</t>
  </si>
  <si>
    <t>TEST4</t>
  </si>
  <si>
    <t>TEST5</t>
  </si>
  <si>
    <t>leverage_factor</t>
  </si>
  <si>
    <t>fee_factor</t>
  </si>
  <si>
    <t>E</t>
  </si>
  <si>
    <t>saturation_factor</t>
  </si>
  <si>
    <t>round_up_cip50</t>
  </si>
  <si>
    <t>poolStake/(saturation*C)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</si>
</sst>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00"/>
    <numFmt numFmtId="167" formatCode="0.0"/>
    <numFmt numFmtId="168" formatCode="_(* #,##0.000_);_(* \(#,##0.000\);_(* &quot;-&quot;??_);_(@_)"/>
    <numFmt numFmtId="169" formatCode="_(* #,##0.000000_);_(* \(#,##0.0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2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0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3" fontId="0" fillId="0" borderId="0" xfId="0" applyNumberFormat="1"/>
    <xf numFmtId="167" fontId="0" fillId="0" borderId="0" xfId="0" applyNumberFormat="1"/>
    <xf numFmtId="0" fontId="2" fillId="0" borderId="0" xfId="0" applyFont="1" applyAlignment="1">
      <alignment textRotation="45"/>
    </xf>
    <xf numFmtId="0" fontId="0" fillId="0" borderId="0" xfId="0" applyAlignment="1">
      <alignment textRotation="45"/>
    </xf>
    <xf numFmtId="165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00B050"/>
      </font>
    </dxf>
    <dxf>
      <font>
        <color rgb="FF92D050"/>
      </font>
    </dxf>
    <dxf>
      <font>
        <color rgb="FFFFFF00"/>
      </font>
      <fill>
        <patternFill>
          <bgColor theme="0" tint="-0.34998626667073579"/>
        </patternFill>
      </fill>
    </dxf>
    <dxf>
      <font>
        <color rgb="FFFFC000"/>
      </font>
    </dxf>
    <dxf>
      <font>
        <color rgb="FFFF0000"/>
      </font>
    </dxf>
  </dxfs>
  <tableStyles count="0" defaultTableStyle="TableStyleMedium2" defaultPivotStyle="PivotStyleLight16"/>
  <colors>
    <mruColors>
      <color rgb="FFFF7E79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342900</xdr:colOff>
      <xdr:row>17</xdr:row>
      <xdr:rowOff>25400</xdr:rowOff>
    </xdr:from>
    <xdr:ext cx="9385300" cy="308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B5EC2A-1053-1AE5-9C55-BA5543FC70E9}"/>
                </a:ext>
              </a:extLst>
            </xdr:cNvPr>
            <xdr:cNvSpPr txBox="1"/>
          </xdr:nvSpPr>
          <xdr:spPr>
            <a:xfrm>
              <a:off x="25006300" y="4521200"/>
              <a:ext cx="9385300" cy="308063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𝑟𝑎𝑛𝑘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=10−</m:t>
                    </m:r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max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⁡{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𝑙𝑒𝑣𝑒𝑟𝑎𝑔𝑒𝐹𝑎𝑐𝑡𝑜𝑟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𝑠𝑎𝑡𝑢𝑟𝑎𝑡𝑖𝑜𝑛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}−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𝑓𝑒𝑒𝐹𝑎𝑐𝑡𝑜𝑟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𝑓𝑖𝑥𝑒𝑑𝐹𝑒𝑒𝐹𝑎𝑐𝑡𝑜𝑟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B5EC2A-1053-1AE5-9C55-BA5543FC70E9}"/>
                </a:ext>
              </a:extLst>
            </xdr:cNvPr>
            <xdr:cNvSpPr txBox="1"/>
          </xdr:nvSpPr>
          <xdr:spPr>
            <a:xfrm>
              <a:off x="25006300" y="4521200"/>
              <a:ext cx="9385300" cy="308063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𝑟𝑎𝑛𝑘=10−max⁡{ 𝑙𝑒𝑣𝑒𝑟𝑎𝑔𝑒𝐹𝑎𝑐𝑡𝑜𝑟, 𝑠𝑎𝑡𝑢𝑟𝑎𝑡𝑖𝑜𝑛 𝐹𝑎𝑐𝑡𝑜𝑟}−𝑓𝑒𝑒𝐹𝑎𝑐𝑡𝑜𝑟 −𝑓𝑖𝑥𝑒𝑑𝐹𝑒𝑒𝐹𝑎𝑐𝑡𝑜𝑟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330200</xdr:colOff>
      <xdr:row>18</xdr:row>
      <xdr:rowOff>177800</xdr:rowOff>
    </xdr:from>
    <xdr:ext cx="3733800" cy="635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96964A-917A-0F42-8ECA-9E377B69CD65}"/>
                </a:ext>
              </a:extLst>
            </xdr:cNvPr>
            <xdr:cNvSpPr txBox="1"/>
          </xdr:nvSpPr>
          <xdr:spPr>
            <a:xfrm>
              <a:off x="24993600" y="4927600"/>
              <a:ext cx="3733800" cy="6350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𝑝𝑙𝑒𝑑𝑔𝑒𝐹𝑎𝑐𝑡𝑜𝑟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=10∗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𝑝𝑜𝑜𝑙𝐿𝑒𝑣𝑒𝑟𝑎𝑔𝑒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96964A-917A-0F42-8ECA-9E377B69CD65}"/>
                </a:ext>
              </a:extLst>
            </xdr:cNvPr>
            <xdr:cNvSpPr txBox="1"/>
          </xdr:nvSpPr>
          <xdr:spPr>
            <a:xfrm>
              <a:off x="24993600" y="4927600"/>
              <a:ext cx="3733800" cy="6350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𝑝𝑙𝑒𝑑𝑔𝑒𝐹𝑎𝑐𝑡𝑜𝑟=10∗(𝑝𝑜𝑜𝑙𝐿𝑒𝑣𝑒𝑟𝑎𝑔𝑒/𝑙)^𝐴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317500</xdr:colOff>
      <xdr:row>22</xdr:row>
      <xdr:rowOff>63500</xdr:rowOff>
    </xdr:from>
    <xdr:ext cx="3619500" cy="406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34E47D-0226-1F4B-B568-9337AD696A53}"/>
                </a:ext>
              </a:extLst>
            </xdr:cNvPr>
            <xdr:cNvSpPr txBox="1"/>
          </xdr:nvSpPr>
          <xdr:spPr>
            <a:xfrm>
              <a:off x="24980900" y="5626100"/>
              <a:ext cx="36195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𝑓𝑒𝑒𝐹𝑎𝑐𝑡𝑜𝑟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𝑝𝑜𝑜𝑙𝐹𝑒𝑒𝑀𝑎𝑟𝑔𝑖𝑛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34E47D-0226-1F4B-B568-9337AD696A53}"/>
                </a:ext>
              </a:extLst>
            </xdr:cNvPr>
            <xdr:cNvSpPr txBox="1"/>
          </xdr:nvSpPr>
          <xdr:spPr>
            <a:xfrm>
              <a:off x="24980900" y="5626100"/>
              <a:ext cx="36195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𝑓𝑒𝑒𝐹𝑎𝑐𝑡𝑜𝑟=𝐷∗𝑝𝑜𝑜𝑙𝐹𝑒𝑒𝑀𝑎𝑟𝑔𝑖𝑛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342900</xdr:colOff>
      <xdr:row>24</xdr:row>
      <xdr:rowOff>114300</xdr:rowOff>
    </xdr:from>
    <xdr:ext cx="4140200" cy="406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6BA96D2-4D28-D84B-A611-C56A31721A4F}"/>
                </a:ext>
              </a:extLst>
            </xdr:cNvPr>
            <xdr:cNvSpPr txBox="1"/>
          </xdr:nvSpPr>
          <xdr:spPr>
            <a:xfrm>
              <a:off x="25006300" y="60833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𝑓𝑖𝑥𝑒𝑑𝐹𝑒𝑒𝐹𝑎𝑐𝑡𝑜𝑟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∗(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𝑓𝑒𝑒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𝑚𝑖𝑛𝐹𝑒𝑒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)/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𝑠𝑡𝑎𝑘𝑒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6BA96D2-4D28-D84B-A611-C56A31721A4F}"/>
                </a:ext>
              </a:extLst>
            </xdr:cNvPr>
            <xdr:cNvSpPr txBox="1"/>
          </xdr:nvSpPr>
          <xdr:spPr>
            <a:xfrm>
              <a:off x="25006300" y="60833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𝑓𝑖𝑥𝑒𝑑𝐹𝑒𝑒𝐹𝑎𝑐𝑡𝑜𝑟=𝐸∗(𝑓𝑒𝑒−𝑚𝑖𝑛𝐹𝑒𝑒)/𝑠𝑡𝑎𝑘𝑒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368300</xdr:colOff>
      <xdr:row>26</xdr:row>
      <xdr:rowOff>152400</xdr:rowOff>
    </xdr:from>
    <xdr:ext cx="4140200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BEA1AA-F722-4342-A551-6B7F33178DE9}"/>
                </a:ext>
              </a:extLst>
            </xdr:cNvPr>
            <xdr:cNvSpPr txBox="1"/>
          </xdr:nvSpPr>
          <xdr:spPr>
            <a:xfrm>
              <a:off x="25069800" y="6527800"/>
              <a:ext cx="4140200" cy="4953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𝑝𝑜𝑜𝑙𝐿𝑒𝑣𝑒𝑟𝑎𝑔𝑒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𝑑𝑒𝑙𝑒𝑔𝑎𝑡𝑖𝑜𝑛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𝑝𝑙𝑒𝑑𝑔𝑒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BEA1AA-F722-4342-A551-6B7F33178DE9}"/>
                </a:ext>
              </a:extLst>
            </xdr:cNvPr>
            <xdr:cNvSpPr txBox="1"/>
          </xdr:nvSpPr>
          <xdr:spPr>
            <a:xfrm>
              <a:off x="25069800" y="6527800"/>
              <a:ext cx="4140200" cy="4953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𝑝𝑜𝑜𝑙𝐿𝑒𝑣𝑒𝑟𝑎𝑔𝑒=𝑑𝑒𝑙𝑒𝑔𝑎𝑡𝑖𝑜𝑛/𝑝𝑙𝑒𝑑𝑔𝑒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393700</xdr:colOff>
      <xdr:row>29</xdr:row>
      <xdr:rowOff>76200</xdr:rowOff>
    </xdr:from>
    <xdr:ext cx="4140200" cy="406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BE82F3A-3D9D-E947-A8C5-3224C86BFB22}"/>
                </a:ext>
              </a:extLst>
            </xdr:cNvPr>
            <xdr:cNvSpPr txBox="1"/>
          </xdr:nvSpPr>
          <xdr:spPr>
            <a:xfrm>
              <a:off x="25095200" y="70612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𝑝𝑜𝑜𝑙𝑆𝑡𝑎𝑘𝑒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𝑝𝑙𝑒𝑑𝑔𝑒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𝑑𝑒𝑙𝑒𝑔𝑎𝑡𝑖𝑜𝑛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BE82F3A-3D9D-E947-A8C5-3224C86BFB22}"/>
                </a:ext>
              </a:extLst>
            </xdr:cNvPr>
            <xdr:cNvSpPr txBox="1"/>
          </xdr:nvSpPr>
          <xdr:spPr>
            <a:xfrm>
              <a:off x="25095200" y="70612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𝑝𝑜𝑜𝑙𝑆𝑡𝑎𝑘𝑒=𝑝𝑙𝑒𝑑𝑔𝑒+𝑑𝑒𝑙𝑒𝑔𝑎𝑡𝑖𝑜𝑛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393700</xdr:colOff>
      <xdr:row>31</xdr:row>
      <xdr:rowOff>101600</xdr:rowOff>
    </xdr:from>
    <xdr:ext cx="4140200" cy="406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32ECBEC-8329-8D4D-980A-8410398A84CD}"/>
                </a:ext>
              </a:extLst>
            </xdr:cNvPr>
            <xdr:cNvSpPr txBox="1"/>
          </xdr:nvSpPr>
          <xdr:spPr>
            <a:xfrm>
              <a:off x="25095200" y="74930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𝑠𝑎𝑡𝑢𝑟𝑎𝑡𝑖𝑜𝑛𝑆𝑡𝑎𝑘𝑒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𝑡𝑜𝑡𝑎𝑙𝐿𝑖𝑣𝑒𝐴𝑑𝑎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32ECBEC-8329-8D4D-980A-8410398A84CD}"/>
                </a:ext>
              </a:extLst>
            </xdr:cNvPr>
            <xdr:cNvSpPr txBox="1"/>
          </xdr:nvSpPr>
          <xdr:spPr>
            <a:xfrm>
              <a:off x="25095200" y="74930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𝑠𝑎𝑡𝑢𝑟𝑎𝑡𝑖𝑜𝑛𝑆𝑡𝑎𝑘𝑒=𝑡𝑜𝑡𝑎𝑙𝐿𝑖𝑣𝑒𝐴𝑑𝑎/𝑘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26</xdr:col>
      <xdr:colOff>3543300</xdr:colOff>
      <xdr:row>19</xdr:row>
      <xdr:rowOff>0</xdr:rowOff>
    </xdr:from>
    <xdr:ext cx="3733800" cy="635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A1620CC-0461-1A4F-8370-EAE293E70902}"/>
                </a:ext>
              </a:extLst>
            </xdr:cNvPr>
            <xdr:cNvSpPr txBox="1"/>
          </xdr:nvSpPr>
          <xdr:spPr>
            <a:xfrm>
              <a:off x="28892500" y="4953000"/>
              <a:ext cx="3733800" cy="6350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𝑠𝑎𝑡𝑢𝑟𝑎𝑡𝑖𝑜𝑛𝐹𝑎𝑐𝑡𝑜𝑟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=2∗</m:t>
                  </m:r>
                  <m:sSup>
                    <m:sSup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4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𝑝𝑜𝑜𝑙𝑆𝑡𝑎𝑘𝑒</m:t>
                              </m:r>
                            </m:num>
                            <m:den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𝑠𝑎𝑡𝑢𝑟𝑎𝑡𝑖𝑜𝑛𝑆𝑡𝑎𝑘𝑒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𝐶</m:t>
                              </m:r>
                            </m:den>
                          </m:f>
                        </m:e>
                      </m:d>
                    </m:e>
                    <m:sup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𝐵</m:t>
                      </m:r>
                    </m:sup>
                  </m:sSup>
                </m:oMath>
              </a14:m>
              <a:r>
                <a:rPr lang="en-US" sz="1400"/>
                <a:t> </a:t>
              </a: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A1620CC-0461-1A4F-8370-EAE293E70902}"/>
                </a:ext>
              </a:extLst>
            </xdr:cNvPr>
            <xdr:cNvSpPr txBox="1"/>
          </xdr:nvSpPr>
          <xdr:spPr>
            <a:xfrm>
              <a:off x="28892500" y="4953000"/>
              <a:ext cx="3733800" cy="6350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𝑠𝑎𝑡𝑢𝑟𝑎𝑡𝑖𝑜𝑛𝐹𝑎𝑐𝑡𝑜𝑟=2∗(𝑝𝑜𝑜𝑙𝑆𝑡𝑎𝑘𝑒/(𝑠𝑎𝑡𝑢𝑟𝑎𝑡𝑖𝑜𝑛𝑆𝑡𝑎𝑘𝑒∗𝐶))^𝐵</a:t>
              </a:r>
              <a:r>
                <a:rPr lang="en-US" sz="14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8E4-ACF1-DA47-99E6-80EAAD820670}">
  <dimension ref="A1:AA40"/>
  <sheetViews>
    <sheetView tabSelected="1" topLeftCell="V1" workbookViewId="0">
      <pane ySplit="1" topLeftCell="A2" activePane="bottomLeft" state="frozen"/>
      <selection pane="bottomLeft" activeCell="AA27" sqref="AA27"/>
    </sheetView>
  </sheetViews>
  <sheetFormatPr baseColWidth="10" defaultRowHeight="16" x14ac:dyDescent="0.2"/>
  <cols>
    <col min="1" max="1" width="12" bestFit="1" customWidth="1"/>
    <col min="2" max="2" width="11.5" bestFit="1" customWidth="1"/>
    <col min="3" max="3" width="9.6640625" bestFit="1" customWidth="1"/>
    <col min="4" max="4" width="7.5" bestFit="1" customWidth="1"/>
    <col min="5" max="6" width="11.5" bestFit="1" customWidth="1"/>
    <col min="7" max="7" width="10.6640625" bestFit="1" customWidth="1"/>
    <col min="8" max="9" width="14" bestFit="1" customWidth="1"/>
    <col min="10" max="10" width="12.33203125" bestFit="1" customWidth="1"/>
    <col min="11" max="11" width="11.83203125" bestFit="1" customWidth="1"/>
    <col min="12" max="12" width="14.6640625" bestFit="1" customWidth="1"/>
    <col min="13" max="13" width="12.33203125" bestFit="1" customWidth="1"/>
    <col min="14" max="14" width="14.6640625" bestFit="1" customWidth="1"/>
    <col min="15" max="15" width="15.5" bestFit="1" customWidth="1"/>
    <col min="16" max="16" width="20.33203125" bestFit="1" customWidth="1"/>
    <col min="17" max="17" width="11.5" bestFit="1" customWidth="1"/>
    <col min="18" max="18" width="15.1640625" bestFit="1" customWidth="1"/>
    <col min="19" max="19" width="12.1640625" bestFit="1" customWidth="1"/>
    <col min="20" max="20" width="14.5" bestFit="1" customWidth="1"/>
    <col min="21" max="21" width="17.83203125" bestFit="1" customWidth="1"/>
    <col min="22" max="22" width="13.33203125" bestFit="1" customWidth="1"/>
    <col min="23" max="23" width="15" bestFit="1" customWidth="1"/>
    <col min="24" max="24" width="14.6640625" bestFit="1" customWidth="1"/>
    <col min="25" max="25" width="6" customWidth="1"/>
    <col min="26" max="26" width="8.5" customWidth="1"/>
    <col min="27" max="27" width="74.1640625" bestFit="1" customWidth="1"/>
  </cols>
  <sheetData>
    <row r="1" spans="1:27" s="12" customFormat="1" ht="102" x14ac:dyDescent="0.2">
      <c r="A1" s="11" t="s">
        <v>4</v>
      </c>
      <c r="B1" s="11" t="s">
        <v>45</v>
      </c>
      <c r="C1" s="11" t="s">
        <v>46</v>
      </c>
      <c r="D1" s="11" t="s">
        <v>47</v>
      </c>
      <c r="E1" s="11" t="s">
        <v>49</v>
      </c>
      <c r="F1" s="11" t="s">
        <v>48</v>
      </c>
      <c r="G1" s="11" t="s">
        <v>50</v>
      </c>
      <c r="H1" s="11" t="s">
        <v>0</v>
      </c>
      <c r="I1" s="11" t="s">
        <v>1</v>
      </c>
      <c r="J1" s="11" t="s">
        <v>2</v>
      </c>
      <c r="K1" s="11" t="s">
        <v>3</v>
      </c>
      <c r="L1" s="11" t="s">
        <v>78</v>
      </c>
      <c r="M1" s="11" t="s">
        <v>63</v>
      </c>
      <c r="N1" s="11" t="s">
        <v>74</v>
      </c>
      <c r="O1" s="11" t="s">
        <v>77</v>
      </c>
      <c r="P1" s="11" t="s">
        <v>79</v>
      </c>
      <c r="Q1" s="11" t="s">
        <v>75</v>
      </c>
      <c r="R1" s="11" t="s">
        <v>51</v>
      </c>
      <c r="S1" s="11" t="s">
        <v>66</v>
      </c>
      <c r="T1" s="11" t="s">
        <v>64</v>
      </c>
      <c r="U1" s="11" t="s">
        <v>65</v>
      </c>
      <c r="V1" s="11" t="s">
        <v>58</v>
      </c>
      <c r="W1" s="11" t="s">
        <v>59</v>
      </c>
      <c r="X1" s="11" t="s">
        <v>60</v>
      </c>
      <c r="Y1" s="11"/>
    </row>
    <row r="2" spans="1:27" x14ac:dyDescent="0.2">
      <c r="A2" t="s">
        <v>16</v>
      </c>
      <c r="B2" s="5">
        <v>5000</v>
      </c>
      <c r="C2" s="6">
        <v>0</v>
      </c>
      <c r="D2" s="5">
        <v>340</v>
      </c>
      <c r="E2" s="5">
        <v>8614</v>
      </c>
      <c r="F2" s="6">
        <v>1E-4</v>
      </c>
      <c r="G2" s="6">
        <v>0</v>
      </c>
      <c r="H2">
        <v>10</v>
      </c>
      <c r="I2">
        <v>64</v>
      </c>
      <c r="J2">
        <v>437</v>
      </c>
      <c r="K2" s="2">
        <f>MAX(0,10-MAX(N2,O2)-Q2-R2)</f>
        <v>9.9970319601599993</v>
      </c>
      <c r="L2" s="2">
        <f>ROUNDUP(K2,0)</f>
        <v>10</v>
      </c>
      <c r="M2" s="2" t="str">
        <f>IF(K2&lt;=2,"F",IF(K2&lt;=4,"D",IF(K2&lt;=6,"C",IF(K2&lt;=8,"B",IF(K2&lt;=10,"A","TEST")))))</f>
        <v>A</v>
      </c>
      <c r="N2" s="4">
        <f>10*(T2)^$Z$11</f>
        <v>2.9680398400000001E-3</v>
      </c>
      <c r="O2" s="14">
        <f>2*(P2)^($Z$12)</f>
        <v>1.0460144934838696E-18</v>
      </c>
      <c r="P2" s="15">
        <f>(W2)/(X2*$Z$13)</f>
        <v>2.2064878547692994E-4</v>
      </c>
      <c r="Q2" s="7">
        <f>$Z$14*C2</f>
        <v>0</v>
      </c>
      <c r="R2" s="7">
        <f>$Z$15*(D2-$Z$16)/E2</f>
        <v>0</v>
      </c>
      <c r="S2" s="7" t="str">
        <f>IF(T2&gt;U2,"LEFT","RIGHT")</f>
        <v>LEFT</v>
      </c>
      <c r="T2" s="7">
        <f>V2/$Z$17</f>
        <v>1.7228E-2</v>
      </c>
      <c r="U2" s="7">
        <f>W2/X2</f>
        <v>1.9858390692923696E-4</v>
      </c>
      <c r="V2" s="10">
        <f>E2/B2</f>
        <v>1.7228000000000001</v>
      </c>
      <c r="W2" s="3">
        <f>B2+E2</f>
        <v>13614</v>
      </c>
      <c r="X2" s="5">
        <f>$Z$36/$Z$37</f>
        <v>68555404.164000005</v>
      </c>
      <c r="Y2" s="7"/>
      <c r="Z2" s="1" t="s">
        <v>5</v>
      </c>
    </row>
    <row r="3" spans="1:27" x14ac:dyDescent="0.2">
      <c r="A3" t="s">
        <v>33</v>
      </c>
      <c r="B3" s="5">
        <v>3030000</v>
      </c>
      <c r="C3" s="6">
        <v>1.4999999999999999E-2</v>
      </c>
      <c r="D3" s="5">
        <v>340</v>
      </c>
      <c r="E3" s="5">
        <v>34010000</v>
      </c>
      <c r="F3" s="6">
        <v>0.48970000000000002</v>
      </c>
      <c r="G3" s="6">
        <v>4.1799999999999997E-2</v>
      </c>
      <c r="H3">
        <v>27</v>
      </c>
      <c r="I3">
        <v>67</v>
      </c>
      <c r="J3">
        <v>2</v>
      </c>
      <c r="K3" s="2">
        <f>MAX(0,10-MAX(N3,O3)-Q3-R3)</f>
        <v>9.0940577267634808</v>
      </c>
      <c r="L3" s="2">
        <f>ROUNDUP(K3,0)</f>
        <v>10</v>
      </c>
      <c r="M3" s="2" t="str">
        <f>IF(K3&lt;=2,"F",IF(K3&lt;=4,"D",IF(K3&lt;=6,"C",IF(K3&lt;=8,"B",IF(K3&lt;=10,"A","TEST")))))</f>
        <v>A</v>
      </c>
      <c r="N3" s="4">
        <f>10*(T3)^$Z$11</f>
        <v>0.12598765916195578</v>
      </c>
      <c r="O3" s="14">
        <f>2*(P3)^($Z$12)</f>
        <v>0.15594227323651966</v>
      </c>
      <c r="P3" s="15">
        <f>(W3)/(X3*$Z$13)</f>
        <v>0.60032547481015752</v>
      </c>
      <c r="Q3" s="7">
        <f>$Z$14*C3</f>
        <v>0.75</v>
      </c>
      <c r="R3" s="7">
        <f>$Z$15*(D3-$Z$16)/E3</f>
        <v>0</v>
      </c>
      <c r="S3" s="7" t="str">
        <f>IF(T3&gt;U3,"LEFT","RIGHT")</f>
        <v>RIGHT</v>
      </c>
      <c r="T3" s="7">
        <f>V3/$Z$17</f>
        <v>0.11224422442244224</v>
      </c>
      <c r="U3" s="7">
        <f>W3/X3</f>
        <v>0.5402929273291418</v>
      </c>
      <c r="V3" s="10">
        <f>E3/B3</f>
        <v>11.224422442244224</v>
      </c>
      <c r="W3" s="3">
        <f>B3+E3</f>
        <v>37040000</v>
      </c>
      <c r="X3" s="5">
        <f>$Z$36/$Z$37</f>
        <v>68555404.164000005</v>
      </c>
      <c r="Y3" s="7"/>
      <c r="Z3" t="s">
        <v>6</v>
      </c>
    </row>
    <row r="4" spans="1:27" x14ac:dyDescent="0.2">
      <c r="A4" t="s">
        <v>21</v>
      </c>
      <c r="B4" s="5">
        <v>401000</v>
      </c>
      <c r="C4" s="6">
        <v>0</v>
      </c>
      <c r="D4" s="5">
        <v>340</v>
      </c>
      <c r="E4" s="5">
        <v>12340000</v>
      </c>
      <c r="F4" s="6">
        <v>0.19209999999999999</v>
      </c>
      <c r="G4" s="6">
        <v>3.5999999999999997E-2</v>
      </c>
      <c r="H4">
        <v>15</v>
      </c>
      <c r="I4">
        <v>28</v>
      </c>
      <c r="J4">
        <v>133</v>
      </c>
      <c r="K4" s="2">
        <f>MAX(0,10-MAX(N4,O4)-Q4-R4)</f>
        <v>9.0530183270004532</v>
      </c>
      <c r="L4" s="2">
        <f>ROUNDUP(K4,0)</f>
        <v>10</v>
      </c>
      <c r="M4" s="2" t="str">
        <f>IF(K4&lt;=2,"F",IF(K4&lt;=4,"D",IF(K4&lt;=6,"C",IF(K4&lt;=8,"B",IF(K4&lt;=10,"A","TEST")))))</f>
        <v>A</v>
      </c>
      <c r="N4" s="4">
        <f>10*(T4)^$Z$11</f>
        <v>0.94698167299954605</v>
      </c>
      <c r="O4" s="14">
        <f>2*(P4)^($Z$12)</f>
        <v>7.5097684983201735E-4</v>
      </c>
      <c r="P4" s="15">
        <f>(W4)/(X4*$Z$13)</f>
        <v>0.20649964564136655</v>
      </c>
      <c r="Q4" s="7">
        <f>$Z$14*C4</f>
        <v>0</v>
      </c>
      <c r="R4" s="7">
        <f>$Z$15*(D4-$Z$16)/E4</f>
        <v>0</v>
      </c>
      <c r="S4" s="7" t="str">
        <f>IF(T4&gt;U4,"LEFT","RIGHT")</f>
        <v>LEFT</v>
      </c>
      <c r="T4" s="7">
        <f>V4/$Z$17</f>
        <v>0.30773067331670823</v>
      </c>
      <c r="U4" s="7">
        <f>W4/X4</f>
        <v>0.18584968107722991</v>
      </c>
      <c r="V4" s="10">
        <f>E4/B4</f>
        <v>30.773067331670823</v>
      </c>
      <c r="W4" s="3">
        <f>B4+E4</f>
        <v>12741000</v>
      </c>
      <c r="X4" s="5">
        <f>$Z$36/$Z$37</f>
        <v>68555404.164000005</v>
      </c>
      <c r="Y4" s="7"/>
      <c r="Z4" t="s">
        <v>40</v>
      </c>
    </row>
    <row r="5" spans="1:27" x14ac:dyDescent="0.2">
      <c r="A5" t="s">
        <v>37</v>
      </c>
      <c r="B5" s="5">
        <v>1000000</v>
      </c>
      <c r="C5" s="6">
        <v>6.8999999999999999E-3</v>
      </c>
      <c r="D5" s="5">
        <v>420</v>
      </c>
      <c r="E5" s="5">
        <v>29400000</v>
      </c>
      <c r="F5" s="6">
        <v>0.42330000000000001</v>
      </c>
      <c r="G5" s="6">
        <v>3.6799999999999999E-2</v>
      </c>
      <c r="H5">
        <v>31</v>
      </c>
      <c r="I5">
        <v>35</v>
      </c>
      <c r="J5">
        <v>345</v>
      </c>
      <c r="K5" s="2">
        <f>MAX(0,10-MAX(N5,O5)-Q5-R5)</f>
        <v>8.7903678911564622</v>
      </c>
      <c r="L5" s="2">
        <f>ROUNDUP(K5,0)</f>
        <v>9</v>
      </c>
      <c r="M5" s="2" t="str">
        <f>IF(K5&lt;=2,"F",IF(K5&lt;=4,"D",IF(K5&lt;=6,"C",IF(K5&lt;=8,"B",IF(K5&lt;=10,"A","TEST")))))</f>
        <v>A</v>
      </c>
      <c r="N5" s="4">
        <f>10*(T5)^$Z$11</f>
        <v>0.8643599999999998</v>
      </c>
      <c r="O5" s="14">
        <f>2*(P5)^($Z$12)</f>
        <v>5.8073351269825629E-2</v>
      </c>
      <c r="P5" s="15">
        <f>(W5)/(X5*$Z$13)</f>
        <v>0.4927077331055289</v>
      </c>
      <c r="Q5" s="7">
        <f>$Z$14*C5</f>
        <v>0.34499999999999997</v>
      </c>
      <c r="R5" s="7">
        <f>$Z$15*(D5-$Z$16)/E5</f>
        <v>2.7210884353741496E-4</v>
      </c>
      <c r="S5" s="7" t="str">
        <f>IF(T5&gt;U5,"LEFT","RIGHT")</f>
        <v>RIGHT</v>
      </c>
      <c r="T5" s="7">
        <f>V5/$Z$17</f>
        <v>0.29399999999999998</v>
      </c>
      <c r="U5" s="7">
        <f>W5/X5</f>
        <v>0.44343695979497599</v>
      </c>
      <c r="V5" s="10">
        <f>E5/B5</f>
        <v>29.4</v>
      </c>
      <c r="W5" s="3">
        <f>B5+E5</f>
        <v>30400000</v>
      </c>
      <c r="X5" s="5">
        <f>$Z$36/$Z$37</f>
        <v>68555404.164000005</v>
      </c>
      <c r="Y5" s="7"/>
      <c r="Z5" t="s">
        <v>41</v>
      </c>
    </row>
    <row r="6" spans="1:27" x14ac:dyDescent="0.2">
      <c r="A6" t="s">
        <v>29</v>
      </c>
      <c r="B6" s="5">
        <v>2300000</v>
      </c>
      <c r="C6" s="6">
        <v>0.02</v>
      </c>
      <c r="D6" s="5">
        <v>340</v>
      </c>
      <c r="E6" s="5">
        <v>33330000</v>
      </c>
      <c r="F6" s="6">
        <v>0.47989999999999999</v>
      </c>
      <c r="G6" s="6">
        <v>4.0399999999999998E-2</v>
      </c>
      <c r="H6">
        <v>23</v>
      </c>
      <c r="I6">
        <v>2000</v>
      </c>
      <c r="J6">
        <v>118</v>
      </c>
      <c r="K6" s="2">
        <f>MAX(0,10-MAX(N6,O6)-Q6-R6)</f>
        <v>8.7900020982986771</v>
      </c>
      <c r="L6" s="2">
        <f>ROUNDUP(K6,0)</f>
        <v>9</v>
      </c>
      <c r="M6" s="2" t="str">
        <f>IF(K6&lt;=2,"F",IF(K6&lt;=4,"D",IF(K6&lt;=6,"C",IF(K6&lt;=8,"B",IF(K6&lt;=10,"A","TEST")))))</f>
        <v>A</v>
      </c>
      <c r="N6" s="4">
        <f>10*(T6)^$Z$11</f>
        <v>0.20999790170132326</v>
      </c>
      <c r="O6" s="14">
        <f>2*(P6)^($Z$12)</f>
        <v>0.12843638772569274</v>
      </c>
      <c r="P6" s="15">
        <f>(W6)/(X6*$Z$13)</f>
        <v>0.57747291218914454</v>
      </c>
      <c r="Q6" s="7">
        <f>$Z$14*C6</f>
        <v>1</v>
      </c>
      <c r="R6" s="7">
        <f>$Z$15*(D6-$Z$16)/E6</f>
        <v>0</v>
      </c>
      <c r="S6" s="7" t="str">
        <f>IF(T6&gt;U6,"LEFT","RIGHT")</f>
        <v>RIGHT</v>
      </c>
      <c r="T6" s="7">
        <f>V6/$Z$17</f>
        <v>0.14491304347826087</v>
      </c>
      <c r="U6" s="7">
        <f>W6/X6</f>
        <v>0.51972562097023012</v>
      </c>
      <c r="V6" s="10">
        <f>E6/B6</f>
        <v>14.491304347826087</v>
      </c>
      <c r="W6" s="3">
        <f>B6+E6</f>
        <v>35630000</v>
      </c>
      <c r="X6" s="5">
        <f>$Z$36/$Z$37</f>
        <v>68555404.164000005</v>
      </c>
      <c r="Y6" s="7"/>
      <c r="Z6" t="s">
        <v>43</v>
      </c>
    </row>
    <row r="7" spans="1:27" x14ac:dyDescent="0.2">
      <c r="A7" t="s">
        <v>39</v>
      </c>
      <c r="B7" s="5">
        <v>1000000</v>
      </c>
      <c r="C7" s="6">
        <v>0.01</v>
      </c>
      <c r="D7" s="5">
        <v>340</v>
      </c>
      <c r="E7" s="5">
        <v>27880000</v>
      </c>
      <c r="F7" s="6">
        <v>0.40150000000000002</v>
      </c>
      <c r="G7" s="6">
        <v>3.61E-2</v>
      </c>
      <c r="H7">
        <v>33</v>
      </c>
      <c r="I7">
        <v>4</v>
      </c>
      <c r="J7">
        <v>221</v>
      </c>
      <c r="K7" s="2">
        <f>MAX(0,10-MAX(N7,O7)-Q7-R7)</f>
        <v>8.7227055999999994</v>
      </c>
      <c r="L7" s="2">
        <f>ROUNDUP(K7,0)</f>
        <v>9</v>
      </c>
      <c r="M7" s="2" t="str">
        <f>IF(K7&lt;=2,"F",IF(K7&lt;=4,"D",IF(K7&lt;=6,"C",IF(K7&lt;=8,"B",IF(K7&lt;=10,"A","TEST")))))</f>
        <v>A</v>
      </c>
      <c r="N7" s="4">
        <f>10*(T7)^$Z$11</f>
        <v>0.77729439999999994</v>
      </c>
      <c r="O7" s="14">
        <f>2*(P7)^($Z$12)</f>
        <v>4.493605218933247E-2</v>
      </c>
      <c r="P7" s="15">
        <f>(W7)/(X7*$Z$13)</f>
        <v>0.46807234645025242</v>
      </c>
      <c r="Q7" s="7">
        <f>$Z$14*C7</f>
        <v>0.5</v>
      </c>
      <c r="R7" s="7">
        <f>$Z$15*(D7-$Z$16)/E7</f>
        <v>0</v>
      </c>
      <c r="S7" s="7" t="str">
        <f>IF(T7&gt;U7,"LEFT","RIGHT")</f>
        <v>RIGHT</v>
      </c>
      <c r="T7" s="7">
        <f>V7/$Z$17</f>
        <v>0.27879999999999999</v>
      </c>
      <c r="U7" s="7">
        <f>W7/X7</f>
        <v>0.42126511180522719</v>
      </c>
      <c r="V7" s="10">
        <f>E7/B7</f>
        <v>27.88</v>
      </c>
      <c r="W7" s="3">
        <f>B7+E7</f>
        <v>28880000</v>
      </c>
      <c r="X7" s="5">
        <f>$Z$36/$Z$37</f>
        <v>68555404.164000005</v>
      </c>
      <c r="Y7" s="7"/>
      <c r="Z7" t="s">
        <v>44</v>
      </c>
    </row>
    <row r="8" spans="1:27" x14ac:dyDescent="0.2">
      <c r="A8" t="s">
        <v>42</v>
      </c>
      <c r="B8" s="5">
        <v>10000</v>
      </c>
      <c r="C8" s="6">
        <v>2.5000000000000001E-2</v>
      </c>
      <c r="D8" s="5">
        <v>345</v>
      </c>
      <c r="E8" s="5">
        <v>11558</v>
      </c>
      <c r="F8" s="6">
        <f>(B8+E8)/X8</f>
        <v>3.1446098615987145E-4</v>
      </c>
      <c r="G8" s="6">
        <v>0</v>
      </c>
      <c r="H8">
        <v>1968</v>
      </c>
      <c r="I8">
        <v>2000</v>
      </c>
      <c r="J8">
        <v>1420</v>
      </c>
      <c r="K8" s="2">
        <f>MAX(0,10-MAX(N8,O8)-Q8-R8)</f>
        <v>8.7054040467614531</v>
      </c>
      <c r="L8" s="2">
        <f>ROUNDUP(K8,0)</f>
        <v>9</v>
      </c>
      <c r="M8" s="2" t="str">
        <f>IF(K8&lt;=2,"F",IF(K8&lt;=4,"D",IF(K8&lt;=6,"C",IF(K8&lt;=8,"B",IF(K8&lt;=10,"A","TEST")))))</f>
        <v>A</v>
      </c>
      <c r="N8" s="4">
        <f>10*(T8)^$Z$11</f>
        <v>1.3358736399999996E-3</v>
      </c>
      <c r="O8" s="14">
        <f>2*(P8)^($Z$12)</f>
        <v>1.0414808976126151E-17</v>
      </c>
      <c r="P8" s="15">
        <f>(W8)/(X8*$Z$13)</f>
        <v>3.4940109573319052E-4</v>
      </c>
      <c r="Q8" s="7">
        <f>$Z$14*C8</f>
        <v>1.25</v>
      </c>
      <c r="R8" s="7">
        <f>$Z$15*(D8-$Z$16)/E8</f>
        <v>4.3260079598546462E-2</v>
      </c>
      <c r="S8" s="7" t="str">
        <f>IF(T8&gt;U8,"LEFT","RIGHT")</f>
        <v>LEFT</v>
      </c>
      <c r="T8" s="7">
        <f>V8/$Z$17</f>
        <v>1.1557999999999999E-2</v>
      </c>
      <c r="U8" s="7">
        <f>W8/X8</f>
        <v>3.1446098615987145E-4</v>
      </c>
      <c r="V8" s="10">
        <f>E8/B8</f>
        <v>1.1557999999999999</v>
      </c>
      <c r="W8" s="3">
        <f>B8+E8</f>
        <v>21558</v>
      </c>
      <c r="X8" s="5">
        <f>$Z$36/$Z$37</f>
        <v>68555404.164000005</v>
      </c>
      <c r="Y8" s="7"/>
      <c r="Z8" t="s">
        <v>67</v>
      </c>
    </row>
    <row r="9" spans="1:27" x14ac:dyDescent="0.2">
      <c r="A9" t="s">
        <v>10</v>
      </c>
      <c r="B9" s="5">
        <v>1500000</v>
      </c>
      <c r="C9" s="6">
        <v>0.01</v>
      </c>
      <c r="D9" s="5">
        <v>340</v>
      </c>
      <c r="E9" s="5">
        <v>42640000</v>
      </c>
      <c r="F9" s="6">
        <v>0.61399999999999999</v>
      </c>
      <c r="G9" s="6">
        <v>3.9600000000000003E-2</v>
      </c>
      <c r="H9">
        <v>4</v>
      </c>
      <c r="I9">
        <v>2000</v>
      </c>
      <c r="J9">
        <v>173</v>
      </c>
      <c r="K9" s="2">
        <f>MAX(0,10-MAX(N9,O9)-Q9-R9)</f>
        <v>8.6919246222222224</v>
      </c>
      <c r="L9" s="2">
        <f>ROUNDUP(K9,0)</f>
        <v>9</v>
      </c>
      <c r="M9" s="2" t="str">
        <f>IF(K9&lt;=2,"F",IF(K9&lt;=4,"D",IF(K9&lt;=6,"C",IF(K9&lt;=8,"B",IF(K9&lt;=10,"A","TEST")))))</f>
        <v>A</v>
      </c>
      <c r="N9" s="4">
        <f>10*(T9)^$Z$11</f>
        <v>0.80807537777777771</v>
      </c>
      <c r="O9" s="14">
        <f>2*(P9)^($Z$12)</f>
        <v>0.37477500178604162</v>
      </c>
      <c r="P9" s="15">
        <f>(W9)/(X9*$Z$13)</f>
        <v>0.7153986624762515</v>
      </c>
      <c r="Q9" s="7">
        <f>$Z$14*C9</f>
        <v>0.5</v>
      </c>
      <c r="R9" s="7">
        <f>$Z$15*(D9-$Z$16)/E9</f>
        <v>0</v>
      </c>
      <c r="S9" s="7" t="str">
        <f>IF(T9&gt;U9,"LEFT","RIGHT")</f>
        <v>RIGHT</v>
      </c>
      <c r="T9" s="7">
        <f>V9/$Z$17</f>
        <v>0.28426666666666667</v>
      </c>
      <c r="U9" s="7">
        <f>W9/X9</f>
        <v>0.6438587962286263</v>
      </c>
      <c r="V9" s="10">
        <f>E9/B9</f>
        <v>28.426666666666666</v>
      </c>
      <c r="W9" s="3">
        <f>B9+E9</f>
        <v>44140000</v>
      </c>
      <c r="X9" s="5">
        <f>$Z$36/$Z$37</f>
        <v>68555404.164000005</v>
      </c>
      <c r="Y9" s="7"/>
    </row>
    <row r="10" spans="1:27" x14ac:dyDescent="0.2">
      <c r="A10" t="s">
        <v>35</v>
      </c>
      <c r="B10" s="5">
        <v>1500000</v>
      </c>
      <c r="C10" s="6">
        <v>0.02</v>
      </c>
      <c r="D10" s="5">
        <v>340</v>
      </c>
      <c r="E10" s="5">
        <v>29640000</v>
      </c>
      <c r="F10" s="6">
        <v>0.42680000000000001</v>
      </c>
      <c r="G10" s="6">
        <v>4.1099999999999998E-2</v>
      </c>
      <c r="H10">
        <v>29</v>
      </c>
      <c r="I10">
        <v>45</v>
      </c>
      <c r="J10">
        <v>90</v>
      </c>
      <c r="K10" s="2">
        <f>MAX(0,10-MAX(N10,O10)-Q10-R10)</f>
        <v>8.6095424000000005</v>
      </c>
      <c r="L10" s="2">
        <f>ROUNDUP(K10,0)</f>
        <v>9</v>
      </c>
      <c r="M10" s="2" t="str">
        <f>IF(K10&lt;=2,"F",IF(K10&lt;=4,"D",IF(K10&lt;=6,"C",IF(K10&lt;=8,"B",IF(K10&lt;=10,"A","TEST")))))</f>
        <v>A</v>
      </c>
      <c r="N10" s="4">
        <f>10*(T10)^$Z$11</f>
        <v>0.39045760000000013</v>
      </c>
      <c r="O10" s="14">
        <f>2*(P10)^($Z$12)</f>
        <v>6.5494074870057026E-2</v>
      </c>
      <c r="P10" s="15">
        <f>(W10)/(X10*$Z$13)</f>
        <v>0.50470127660875552</v>
      </c>
      <c r="Q10" s="7">
        <f>$Z$14*C10</f>
        <v>1</v>
      </c>
      <c r="R10" s="7">
        <f>$Z$15*(D10-$Z$16)/E10</f>
        <v>0</v>
      </c>
      <c r="S10" s="7" t="str">
        <f>IF(T10&gt;U10,"LEFT","RIGHT")</f>
        <v>RIGHT</v>
      </c>
      <c r="T10" s="7">
        <f>V10/$Z$17</f>
        <v>0.19760000000000003</v>
      </c>
      <c r="U10" s="7">
        <f>W10/X10</f>
        <v>0.45423114894788003</v>
      </c>
      <c r="V10" s="10">
        <f>E10/B10</f>
        <v>19.760000000000002</v>
      </c>
      <c r="W10" s="3">
        <f>B10+E10</f>
        <v>31140000</v>
      </c>
      <c r="X10" s="5">
        <f>$Z$36/$Z$37</f>
        <v>68555404.164000005</v>
      </c>
      <c r="Y10" s="7"/>
      <c r="Z10" s="1" t="s">
        <v>56</v>
      </c>
    </row>
    <row r="11" spans="1:27" x14ac:dyDescent="0.2">
      <c r="A11" t="s">
        <v>8</v>
      </c>
      <c r="B11" s="5">
        <v>1000000</v>
      </c>
      <c r="C11" s="6">
        <v>4.0000000000000001E-3</v>
      </c>
      <c r="D11" s="5">
        <v>340</v>
      </c>
      <c r="E11" s="5">
        <v>36410000</v>
      </c>
      <c r="F11" s="6">
        <v>0.52429999999999999</v>
      </c>
      <c r="G11" s="6">
        <v>4.0500000000000001E-2</v>
      </c>
      <c r="H11">
        <v>2</v>
      </c>
      <c r="I11">
        <v>76</v>
      </c>
      <c r="J11">
        <v>10</v>
      </c>
      <c r="K11" s="2">
        <f>MAX(0,10-MAX(N11,O11)-Q11-R11)</f>
        <v>8.4743119</v>
      </c>
      <c r="L11" s="2">
        <f>ROUNDUP(K11,0)</f>
        <v>9</v>
      </c>
      <c r="M11" s="2" t="str">
        <f>IF(K11&lt;=2,"F",IF(K11&lt;=4,"D",IF(K11&lt;=6,"C",IF(K11&lt;=8,"B",IF(K11&lt;=10,"A","TEST")))))</f>
        <v>A</v>
      </c>
      <c r="N11" s="4">
        <f>10*(T11)^$Z$11</f>
        <v>1.3256880999999998</v>
      </c>
      <c r="O11" s="14">
        <f>2*(P11)^($Z$12)</f>
        <v>0.16388813449099898</v>
      </c>
      <c r="P11" s="15">
        <f>(W11)/(X11*$Z$13)</f>
        <v>0.60632224656177092</v>
      </c>
      <c r="Q11" s="7">
        <f>$Z$14*C11</f>
        <v>0.2</v>
      </c>
      <c r="R11" s="7">
        <f>$Z$15*(D11-$Z$16)/E11</f>
        <v>0</v>
      </c>
      <c r="S11" s="7" t="str">
        <f>IF(T11&gt;U11,"LEFT","RIGHT")</f>
        <v>RIGHT</v>
      </c>
      <c r="T11" s="7">
        <f>V11/$Z$17</f>
        <v>0.36409999999999998</v>
      </c>
      <c r="U11" s="7">
        <f>W11/X11</f>
        <v>0.54569002190559379</v>
      </c>
      <c r="V11" s="10">
        <f>E11/B11</f>
        <v>36.409999999999997</v>
      </c>
      <c r="W11" s="3">
        <f>B11+E11</f>
        <v>37410000</v>
      </c>
      <c r="X11" s="5">
        <f>$Z$36/$Z$37</f>
        <v>68555404.164000005</v>
      </c>
      <c r="Y11" s="7"/>
      <c r="Z11">
        <v>2</v>
      </c>
      <c r="AA11" t="s">
        <v>52</v>
      </c>
    </row>
    <row r="12" spans="1:27" x14ac:dyDescent="0.2">
      <c r="A12" t="s">
        <v>34</v>
      </c>
      <c r="B12" s="5">
        <v>1610000</v>
      </c>
      <c r="C12" s="6">
        <v>0.02</v>
      </c>
      <c r="D12" s="5">
        <v>340</v>
      </c>
      <c r="E12" s="5">
        <v>47470000</v>
      </c>
      <c r="F12" s="6">
        <v>0.6835</v>
      </c>
      <c r="G12" s="6">
        <v>3.7699999999999997E-2</v>
      </c>
      <c r="H12">
        <v>28</v>
      </c>
      <c r="I12">
        <v>14</v>
      </c>
      <c r="J12">
        <v>12</v>
      </c>
      <c r="K12" s="2">
        <f>MAX(0,10-MAX(N12,O12)-Q12-R12)</f>
        <v>8.1306659079510819</v>
      </c>
      <c r="L12" s="2">
        <f>ROUNDUP(K12,0)</f>
        <v>9</v>
      </c>
      <c r="M12" s="2" t="str">
        <f>IF(K12&lt;=2,"F",IF(K12&lt;=4,"D",IF(K12&lt;=6,"C",IF(K12&lt;=8,"B",IF(K12&lt;=10,"A","TEST")))))</f>
        <v>A</v>
      </c>
      <c r="N12" s="4">
        <f>10*(T12)^$Z$11</f>
        <v>0.86933409204891787</v>
      </c>
      <c r="O12" s="14">
        <f>2*(P12)^($Z$12)</f>
        <v>0.6369887189333765</v>
      </c>
      <c r="P12" s="15">
        <f>(W12)/(X12*$Z$13)</f>
        <v>0.79546366910589994</v>
      </c>
      <c r="Q12" s="7">
        <f>$Z$14*C12</f>
        <v>1</v>
      </c>
      <c r="R12" s="7">
        <f>$Z$15*(D12-$Z$16)/E12</f>
        <v>0</v>
      </c>
      <c r="S12" s="7" t="str">
        <f>IF(T12&gt;U12,"LEFT","RIGHT")</f>
        <v>RIGHT</v>
      </c>
      <c r="T12" s="7">
        <f>V12/$Z$17</f>
        <v>0.29484472049689442</v>
      </c>
      <c r="U12" s="7">
        <f>W12/X12</f>
        <v>0.71591730219530991</v>
      </c>
      <c r="V12" s="10">
        <f>E12/B12</f>
        <v>29.48447204968944</v>
      </c>
      <c r="W12" s="3">
        <f>B12+E12</f>
        <v>49080000</v>
      </c>
      <c r="X12" s="5">
        <f>$Z$36/$Z$37</f>
        <v>68555404.164000005</v>
      </c>
      <c r="Y12" s="7"/>
      <c r="Z12">
        <v>5</v>
      </c>
      <c r="AA12" t="s">
        <v>53</v>
      </c>
    </row>
    <row r="13" spans="1:27" x14ac:dyDescent="0.2">
      <c r="A13" t="s">
        <v>17</v>
      </c>
      <c r="B13" s="5">
        <v>560000</v>
      </c>
      <c r="C13" s="6">
        <v>0</v>
      </c>
      <c r="D13" s="5">
        <v>340</v>
      </c>
      <c r="E13" s="5">
        <v>26280000</v>
      </c>
      <c r="F13" s="6">
        <v>0.37840000000000001</v>
      </c>
      <c r="G13" s="6">
        <v>4.3400000000000001E-2</v>
      </c>
      <c r="H13">
        <v>11</v>
      </c>
      <c r="I13">
        <v>55</v>
      </c>
      <c r="J13">
        <v>8</v>
      </c>
      <c r="K13" s="2">
        <f>MAX(0,10-MAX(N13,O13)-Q13-R13)</f>
        <v>7.7977091836734687</v>
      </c>
      <c r="L13" s="2">
        <f>ROUNDUP(K13,0)</f>
        <v>8</v>
      </c>
      <c r="M13" s="2" t="str">
        <f>IF(K13&lt;=2,"F",IF(K13&lt;=4,"D",IF(K13&lt;=6,"C",IF(K13&lt;=8,"B",IF(K13&lt;=10,"A","TEST")))))</f>
        <v>B</v>
      </c>
      <c r="N13" s="4">
        <f>10*(T13)^$Z$11</f>
        <v>2.2022908163265309</v>
      </c>
      <c r="O13" s="14">
        <f>2*(P13)^($Z$12)</f>
        <v>3.1154553272975147E-2</v>
      </c>
      <c r="P13" s="15">
        <f>(W13)/(X13*$Z$13)</f>
        <v>0.43500906436027614</v>
      </c>
      <c r="Q13" s="7">
        <f>$Z$14*C13</f>
        <v>0</v>
      </c>
      <c r="R13" s="7">
        <f>$Z$15*(D13-$Z$16)/E13</f>
        <v>0</v>
      </c>
      <c r="S13" s="7" t="str">
        <f>IF(T13&gt;U13,"LEFT","RIGHT")</f>
        <v>LEFT</v>
      </c>
      <c r="T13" s="7">
        <f>V13/$Z$17</f>
        <v>0.46928571428571431</v>
      </c>
      <c r="U13" s="7">
        <f>W13/X13</f>
        <v>0.39150815792424853</v>
      </c>
      <c r="V13" s="10">
        <f>E13/B13</f>
        <v>46.928571428571431</v>
      </c>
      <c r="W13" s="3">
        <f>B13+E13</f>
        <v>26840000</v>
      </c>
      <c r="X13" s="5">
        <f>$Z$36/$Z$37</f>
        <v>68555404.164000005</v>
      </c>
      <c r="Y13" s="7"/>
      <c r="Z13">
        <v>0.9</v>
      </c>
      <c r="AA13" t="s">
        <v>54</v>
      </c>
    </row>
    <row r="14" spans="1:27" x14ac:dyDescent="0.2">
      <c r="A14" t="s">
        <v>36</v>
      </c>
      <c r="B14" s="5">
        <v>123</v>
      </c>
      <c r="C14" s="6">
        <v>0.01</v>
      </c>
      <c r="D14" s="5">
        <v>340</v>
      </c>
      <c r="E14" s="5">
        <v>6080</v>
      </c>
      <c r="F14" s="6">
        <v>0.01</v>
      </c>
      <c r="G14" s="6">
        <v>0</v>
      </c>
      <c r="H14">
        <v>30</v>
      </c>
      <c r="I14">
        <v>87</v>
      </c>
      <c r="J14">
        <v>1923</v>
      </c>
      <c r="K14" s="2">
        <f>MAX(0,10-MAX(N14,O14)-Q14-R14)</f>
        <v>7.0565866878180978</v>
      </c>
      <c r="L14" s="2">
        <f>ROUNDUP(K14,0)</f>
        <v>8</v>
      </c>
      <c r="M14" s="2" t="str">
        <f>IF(K14&lt;=2,"F",IF(K14&lt;=4,"D",IF(K14&lt;=6,"C",IF(K14&lt;=8,"B",IF(K14&lt;=10,"A","TEST")))))</f>
        <v>B</v>
      </c>
      <c r="N14" s="4">
        <f>10*(T14)^$Z$11</f>
        <v>2.4434133121819022</v>
      </c>
      <c r="O14" s="14">
        <f>2*(P14)^($Z$12)</f>
        <v>2.0540824717227462E-20</v>
      </c>
      <c r="P14" s="15">
        <f>(W14)/(X14*$Z$13)</f>
        <v>1.0053506804123671E-4</v>
      </c>
      <c r="Q14" s="7">
        <f>$Z$14*C14</f>
        <v>0.5</v>
      </c>
      <c r="R14" s="7">
        <f>$Z$15*(D14-$Z$16)/E14</f>
        <v>0</v>
      </c>
      <c r="S14" s="7" t="str">
        <f>IF(T14&gt;U14,"LEFT","RIGHT")</f>
        <v>LEFT</v>
      </c>
      <c r="T14" s="7">
        <f>V14/$Z$17</f>
        <v>0.49430894308943091</v>
      </c>
      <c r="U14" s="7">
        <f>W14/X14</f>
        <v>9.0481561237113034E-5</v>
      </c>
      <c r="V14" s="10">
        <f>E14/B14</f>
        <v>49.430894308943088</v>
      </c>
      <c r="W14" s="3">
        <f>B14+E14</f>
        <v>6203</v>
      </c>
      <c r="X14" s="5">
        <f>$Z$36/$Z$37</f>
        <v>68555404.164000005</v>
      </c>
      <c r="Y14" s="7"/>
      <c r="Z14">
        <v>50</v>
      </c>
      <c r="AA14" t="s">
        <v>55</v>
      </c>
    </row>
    <row r="15" spans="1:27" x14ac:dyDescent="0.2">
      <c r="A15" t="s">
        <v>70</v>
      </c>
      <c r="B15" s="5">
        <v>60000000</v>
      </c>
      <c r="C15" s="6">
        <v>2.5000000000000001E-2</v>
      </c>
      <c r="D15" s="5">
        <v>340</v>
      </c>
      <c r="E15" s="13">
        <v>1</v>
      </c>
      <c r="F15" s="6">
        <f>(B15+E15)/X15</f>
        <v>0.87520454049787888</v>
      </c>
      <c r="G15" s="6">
        <v>0</v>
      </c>
      <c r="H15">
        <v>1968</v>
      </c>
      <c r="I15">
        <v>2000</v>
      </c>
      <c r="J15">
        <v>1420</v>
      </c>
      <c r="K15" s="2">
        <f>MAX(0,10-MAX(N15,O15)-Q15-R15)</f>
        <v>7.0107369970381157</v>
      </c>
      <c r="L15" s="2">
        <f>ROUNDUP(K15,0)</f>
        <v>8</v>
      </c>
      <c r="M15" s="2" t="str">
        <f>IF(K15&lt;=2,"F",IF(K15&lt;=4,"D",IF(K15&lt;=6,"C",IF(K15&lt;=8,"B",IF(K15&lt;=10,"A","TEST")))))</f>
        <v>B</v>
      </c>
      <c r="N15" s="4">
        <f>10*(T15)^$Z$11</f>
        <v>2.7777777777777778E-19</v>
      </c>
      <c r="O15" s="14">
        <f>2*(P15)^($Z$12)</f>
        <v>1.7392630029618852</v>
      </c>
      <c r="P15" s="15">
        <f>(W15)/(X15*$Z$13)</f>
        <v>0.97244948944208776</v>
      </c>
      <c r="Q15" s="7">
        <f>$Z$14*C15</f>
        <v>1.25</v>
      </c>
      <c r="R15" s="7">
        <f>$Z$15*(D15-$Z$16)/E15</f>
        <v>0</v>
      </c>
      <c r="S15" s="7" t="str">
        <f>IF(T15&gt;U15,"LEFT","RIGHT")</f>
        <v>RIGHT</v>
      </c>
      <c r="T15" s="7">
        <f>V15/$Z$17</f>
        <v>1.6666666666666666E-10</v>
      </c>
      <c r="U15" s="7">
        <f>W15/X15</f>
        <v>0.87520454049787888</v>
      </c>
      <c r="V15" s="10">
        <f>E15/B15</f>
        <v>1.6666666666666667E-8</v>
      </c>
      <c r="W15" s="3">
        <f>B15+E15</f>
        <v>60000001</v>
      </c>
      <c r="X15" s="5">
        <f>$Z$36/$Z$37</f>
        <v>68555404.164000005</v>
      </c>
      <c r="Y15" s="7"/>
      <c r="Z15">
        <v>100</v>
      </c>
      <c r="AA15" t="s">
        <v>76</v>
      </c>
    </row>
    <row r="16" spans="1:27" x14ac:dyDescent="0.2">
      <c r="A16" t="s">
        <v>71</v>
      </c>
      <c r="B16" s="5">
        <f>X16*0.9</f>
        <v>61699863.747600004</v>
      </c>
      <c r="C16" s="6">
        <v>2.5000000000000001E-2</v>
      </c>
      <c r="D16" s="5">
        <v>340</v>
      </c>
      <c r="E16" s="13">
        <v>1</v>
      </c>
      <c r="F16" s="6">
        <f>(B16+E16)/X16</f>
        <v>0.90000001458674206</v>
      </c>
      <c r="G16" s="6">
        <v>0</v>
      </c>
      <c r="H16">
        <v>1968</v>
      </c>
      <c r="I16">
        <v>2000</v>
      </c>
      <c r="J16">
        <v>1420</v>
      </c>
      <c r="K16" s="2">
        <f>MAX(0,10-MAX(N16,O16)-Q16-R16)</f>
        <v>6.749999837925083</v>
      </c>
      <c r="L16" s="2">
        <f>ROUNDUP(K16,0)</f>
        <v>7</v>
      </c>
      <c r="M16" s="2" t="str">
        <f>IF(K16&lt;=2,"F",IF(K16&lt;=4,"D",IF(K16&lt;=6,"C",IF(K16&lt;=8,"B",IF(K16&lt;=10,"A","TEST")))))</f>
        <v>B</v>
      </c>
      <c r="N16" s="4">
        <f>10*(T16)^$Z$11</f>
        <v>2.626827716650679E-19</v>
      </c>
      <c r="O16" s="14">
        <f>2*(P16)^($Z$12)</f>
        <v>2.0000001620749166</v>
      </c>
      <c r="P16" s="15">
        <f>(W16)/(X16*$Z$13)</f>
        <v>1.0000000162074911</v>
      </c>
      <c r="Q16" s="7">
        <f>$Z$14*C16</f>
        <v>1.25</v>
      </c>
      <c r="R16" s="7">
        <f>$Z$15*(D16-$Z$16)/E16</f>
        <v>0</v>
      </c>
      <c r="S16" s="7" t="str">
        <f>IF(T16&gt;U16,"LEFT","RIGHT")</f>
        <v>RIGHT</v>
      </c>
      <c r="T16" s="7">
        <f>V16/$Z$17</f>
        <v>1.620749122057661E-10</v>
      </c>
      <c r="U16" s="7">
        <f>W16/X16</f>
        <v>0.90000001458674206</v>
      </c>
      <c r="V16" s="10">
        <f>E16/B16</f>
        <v>1.6207491220576609E-8</v>
      </c>
      <c r="W16" s="3">
        <f>B16+E16</f>
        <v>61699864.747600004</v>
      </c>
      <c r="X16" s="5">
        <f>$Z$36/$Z$37</f>
        <v>68555404.164000005</v>
      </c>
      <c r="Y16" s="7"/>
      <c r="Z16">
        <v>340</v>
      </c>
      <c r="AA16" t="s">
        <v>57</v>
      </c>
    </row>
    <row r="17" spans="1:27" x14ac:dyDescent="0.2">
      <c r="A17" t="s">
        <v>26</v>
      </c>
      <c r="B17" s="5">
        <v>50000</v>
      </c>
      <c r="C17" s="6">
        <v>0.01</v>
      </c>
      <c r="D17" s="5">
        <v>340</v>
      </c>
      <c r="E17" s="5">
        <v>3090000</v>
      </c>
      <c r="F17" s="6">
        <v>4.4499999999999998E-2</v>
      </c>
      <c r="G17" s="6">
        <v>3.5200000000000002E-2</v>
      </c>
      <c r="H17">
        <v>20</v>
      </c>
      <c r="I17">
        <v>2000</v>
      </c>
      <c r="J17">
        <v>2942</v>
      </c>
      <c r="K17" s="2">
        <f>MAX(0,10-MAX(N17,O17)-Q17-R17)</f>
        <v>5.6807600000000003</v>
      </c>
      <c r="L17" s="2">
        <f>ROUNDUP(K17,0)</f>
        <v>6</v>
      </c>
      <c r="M17" s="2" t="str">
        <f>IF(K17&lt;=2,"F",IF(K17&lt;=4,"D",IF(K17&lt;=6,"C",IF(K17&lt;=8,"B",IF(K17&lt;=10,"A","TEST")))))</f>
        <v>C</v>
      </c>
      <c r="N17" s="4">
        <f>10*(T17)^$Z$11</f>
        <v>3.8192399999999997</v>
      </c>
      <c r="O17" s="14">
        <f>2*(P17)^($Z$12)</f>
        <v>6.8274292929486363E-7</v>
      </c>
      <c r="P17" s="15">
        <f>(W17)/(X17*$Z$13)</f>
        <v>5.0891522432610546E-2</v>
      </c>
      <c r="Q17" s="7">
        <f>$Z$14*C17</f>
        <v>0.5</v>
      </c>
      <c r="R17" s="7">
        <f>$Z$15*(D17-$Z$16)/E17</f>
        <v>0</v>
      </c>
      <c r="S17" s="7" t="str">
        <f>IF(T17&gt;U17,"LEFT","RIGHT")</f>
        <v>LEFT</v>
      </c>
      <c r="T17" s="7">
        <f>V17/$Z$17</f>
        <v>0.61799999999999999</v>
      </c>
      <c r="U17" s="7">
        <f>W17/X17</f>
        <v>4.5802370189349496E-2</v>
      </c>
      <c r="V17" s="10">
        <f>E17/B17</f>
        <v>61.8</v>
      </c>
      <c r="W17" s="3">
        <f>B17+E17</f>
        <v>3140000</v>
      </c>
      <c r="X17" s="5">
        <f>$Z$36/$Z$37</f>
        <v>68555404.164000005</v>
      </c>
      <c r="Y17" s="7"/>
      <c r="Z17">
        <v>100</v>
      </c>
      <c r="AA17" t="s">
        <v>62</v>
      </c>
    </row>
    <row r="18" spans="1:27" x14ac:dyDescent="0.2">
      <c r="A18" t="s">
        <v>72</v>
      </c>
      <c r="B18" s="5">
        <v>68555404</v>
      </c>
      <c r="C18" s="6">
        <v>2.5000000000000001E-2</v>
      </c>
      <c r="D18" s="5">
        <v>340</v>
      </c>
      <c r="E18" s="13">
        <v>1</v>
      </c>
      <c r="F18" s="6">
        <f>(B18+E18)/X18</f>
        <v>1.0000000121945163</v>
      </c>
      <c r="G18" s="6">
        <v>0</v>
      </c>
      <c r="H18">
        <v>1968</v>
      </c>
      <c r="I18">
        <v>2000</v>
      </c>
      <c r="J18">
        <v>1420</v>
      </c>
      <c r="K18" s="2">
        <f>MAX(0,10-MAX(N18,O18)-Q18-R18)</f>
        <v>5.3629822317987337</v>
      </c>
      <c r="L18" s="2">
        <f>ROUNDUP(K18,0)</f>
        <v>6</v>
      </c>
      <c r="M18" s="2" t="str">
        <f>IF(K18&lt;=2,"F",IF(K18&lt;=4,"D",IF(K18&lt;=6,"C",IF(K18&lt;=8,"B",IF(K18&lt;=10,"A","TEST")))))</f>
        <v>C</v>
      </c>
      <c r="N18" s="4">
        <f>10*(T18)^$Z$11</f>
        <v>2.1277304606670733E-19</v>
      </c>
      <c r="O18" s="14">
        <f>2*(P18)^($Z$12)</f>
        <v>3.3870177682012663</v>
      </c>
      <c r="P18" s="15">
        <f>(W18)/(X18*$Z$13)</f>
        <v>1.1111111246605736</v>
      </c>
      <c r="Q18" s="7">
        <f>$Z$14*C18</f>
        <v>1.25</v>
      </c>
      <c r="R18" s="7">
        <f>$Z$15*(D18-$Z$16)/E18</f>
        <v>0</v>
      </c>
      <c r="S18" s="7" t="str">
        <f>IF(T18&gt;U18,"LEFT","RIGHT")</f>
        <v>RIGHT</v>
      </c>
      <c r="T18" s="7">
        <f>V18/$Z$17</f>
        <v>1.458674213341373E-10</v>
      </c>
      <c r="U18" s="7">
        <f>W18/X18</f>
        <v>1.0000000121945163</v>
      </c>
      <c r="V18" s="10">
        <f>E18/B18</f>
        <v>1.4586742133413728E-8</v>
      </c>
      <c r="W18" s="3">
        <f>B18+E18</f>
        <v>68555405</v>
      </c>
      <c r="X18" s="5">
        <f>$Z$36/$Z$37</f>
        <v>68555404.164000005</v>
      </c>
      <c r="Y18" s="7"/>
    </row>
    <row r="19" spans="1:27" x14ac:dyDescent="0.2">
      <c r="A19" t="s">
        <v>15</v>
      </c>
      <c r="B19" s="5">
        <v>500000</v>
      </c>
      <c r="C19" s="6">
        <v>9.9000000000000008E-3</v>
      </c>
      <c r="D19" s="5">
        <v>340</v>
      </c>
      <c r="E19" s="5">
        <v>32870000</v>
      </c>
      <c r="F19" s="6">
        <v>0.47339999999999999</v>
      </c>
      <c r="G19" s="6">
        <v>3.8600000000000002E-2</v>
      </c>
      <c r="H19">
        <v>9</v>
      </c>
      <c r="I19">
        <v>103</v>
      </c>
      <c r="J19">
        <v>26</v>
      </c>
      <c r="K19" s="2">
        <f>MAX(0,10-MAX(N19,O19)-Q19-R19)</f>
        <v>5.1832523999999998</v>
      </c>
      <c r="L19" s="2">
        <f>ROUNDUP(K19,0)</f>
        <v>6</v>
      </c>
      <c r="M19" s="2" t="str">
        <f>IF(K19&lt;=2,"F",IF(K19&lt;=4,"D",IF(K19&lt;=6,"C",IF(K19&lt;=8,"B",IF(K19&lt;=10,"A","TEST")))))</f>
        <v>C</v>
      </c>
      <c r="N19" s="4">
        <f>10*(T19)^$Z$11</f>
        <v>4.3217476000000001</v>
      </c>
      <c r="O19" s="14">
        <f>2*(P19)^($Z$12)</f>
        <v>9.2552894205730749E-2</v>
      </c>
      <c r="P19" s="15">
        <f>(W19)/(X19*$Z$13)</f>
        <v>0.54084398203064143</v>
      </c>
      <c r="Q19" s="7">
        <f>$Z$14*C19</f>
        <v>0.49500000000000005</v>
      </c>
      <c r="R19" s="7">
        <f>$Z$15*(D19-$Z$16)/E19</f>
        <v>0</v>
      </c>
      <c r="S19" s="7" t="str">
        <f>IF(T19&gt;U19,"LEFT","RIGHT")</f>
        <v>LEFT</v>
      </c>
      <c r="T19" s="7">
        <f>V19/$Z$17</f>
        <v>0.65739999999999998</v>
      </c>
      <c r="U19" s="7">
        <f>W19/X19</f>
        <v>0.48675958382757728</v>
      </c>
      <c r="V19" s="10">
        <f>E19/B19</f>
        <v>65.739999999999995</v>
      </c>
      <c r="W19" s="3">
        <f>B19+E19</f>
        <v>33370000</v>
      </c>
      <c r="X19" s="5">
        <f>$Z$36/$Z$37</f>
        <v>68555404.164000005</v>
      </c>
      <c r="Y19" s="7"/>
    </row>
    <row r="20" spans="1:27" x14ac:dyDescent="0.2">
      <c r="A20" t="s">
        <v>19</v>
      </c>
      <c r="B20" s="5">
        <v>500000</v>
      </c>
      <c r="C20" s="6">
        <v>0</v>
      </c>
      <c r="D20" s="5">
        <v>340</v>
      </c>
      <c r="E20" s="5">
        <v>35920000</v>
      </c>
      <c r="F20" s="6">
        <v>0.51719999999999999</v>
      </c>
      <c r="G20" s="6">
        <v>4.1700000000000001E-2</v>
      </c>
      <c r="H20">
        <v>13</v>
      </c>
      <c r="I20">
        <v>216</v>
      </c>
      <c r="J20">
        <v>83</v>
      </c>
      <c r="K20" s="2">
        <f>MAX(0,10-MAX(N20,O20)-Q20-R20)</f>
        <v>4.839014399999999</v>
      </c>
      <c r="L20" s="2">
        <f>ROUNDUP(K20,0)</f>
        <v>5</v>
      </c>
      <c r="M20" s="2" t="str">
        <f>IF(K20&lt;=2,"F",IF(K20&lt;=4,"D",IF(K20&lt;=6,"C",IF(K20&lt;=8,"B",IF(K20&lt;=10,"A","TEST")))))</f>
        <v>C</v>
      </c>
      <c r="N20" s="4">
        <f>10*(T20)^$Z$11</f>
        <v>5.160985600000001</v>
      </c>
      <c r="O20" s="14">
        <f>2*(P20)^($Z$12)</f>
        <v>0.1433206199436986</v>
      </c>
      <c r="P20" s="15">
        <f>(W20)/(X20*$Z$13)</f>
        <v>0.59027683025340005</v>
      </c>
      <c r="Q20" s="7">
        <f>$Z$14*C20</f>
        <v>0</v>
      </c>
      <c r="R20" s="7">
        <f>$Z$15*(D20-$Z$16)/E20</f>
        <v>0</v>
      </c>
      <c r="S20" s="7" t="str">
        <f>IF(T20&gt;U20,"LEFT","RIGHT")</f>
        <v>LEFT</v>
      </c>
      <c r="T20" s="7">
        <f>V20/$Z$17</f>
        <v>0.71840000000000004</v>
      </c>
      <c r="U20" s="7">
        <f>W20/X20</f>
        <v>0.53124914722806005</v>
      </c>
      <c r="V20" s="10">
        <f>E20/B20</f>
        <v>71.84</v>
      </c>
      <c r="W20" s="3">
        <f>B20+E20</f>
        <v>36420000</v>
      </c>
      <c r="X20" s="5">
        <f>$Z$36/$Z$37</f>
        <v>68555404.164000005</v>
      </c>
      <c r="Y20" s="7"/>
    </row>
    <row r="21" spans="1:27" x14ac:dyDescent="0.2">
      <c r="A21" t="s">
        <v>7</v>
      </c>
      <c r="B21" s="5">
        <v>10000000</v>
      </c>
      <c r="C21" s="6">
        <v>3.5999999999999997E-2</v>
      </c>
      <c r="D21" s="5">
        <v>340</v>
      </c>
      <c r="E21" s="5">
        <v>59260000</v>
      </c>
      <c r="F21" s="6">
        <v>0.85329999999999995</v>
      </c>
      <c r="G21" s="6">
        <v>3.8899999999999997E-2</v>
      </c>
      <c r="H21">
        <v>1</v>
      </c>
      <c r="I21">
        <v>23</v>
      </c>
      <c r="J21">
        <v>417</v>
      </c>
      <c r="K21" s="2">
        <f>MAX(0,10-MAX(N21,O21)-Q21-R21)</f>
        <v>4.6353129628025416</v>
      </c>
      <c r="L21" s="2">
        <f>ROUNDUP(K21,0)</f>
        <v>5</v>
      </c>
      <c r="M21" s="2" t="str">
        <f>IF(K21&lt;=2,"F",IF(K21&lt;=4,"D",IF(K21&lt;=6,"C",IF(K21&lt;=8,"B",IF(K21&lt;=10,"A","TEST")))))</f>
        <v>C</v>
      </c>
      <c r="N21" s="4">
        <f>10*(T21)^$Z$11</f>
        <v>3.5117476000000002E-2</v>
      </c>
      <c r="O21" s="14">
        <f>2*(P21)^($Z$12)</f>
        <v>3.5646870371974582</v>
      </c>
      <c r="P21" s="15">
        <f>(W21)/(X21*$Z$13)</f>
        <v>1.1225308419371358</v>
      </c>
      <c r="Q21" s="7">
        <f>$Z$14*C21</f>
        <v>1.7999999999999998</v>
      </c>
      <c r="R21" s="7">
        <f>$Z$15*(D21-$Z$16)/E21</f>
        <v>0</v>
      </c>
      <c r="S21" s="7" t="str">
        <f>IF(T21&gt;U21,"LEFT","RIGHT")</f>
        <v>RIGHT</v>
      </c>
      <c r="T21" s="7">
        <f>V21/$Z$17</f>
        <v>5.926E-2</v>
      </c>
      <c r="U21" s="7">
        <f>W21/X21</f>
        <v>1.0102777577434223</v>
      </c>
      <c r="V21" s="10">
        <f>E21/B21</f>
        <v>5.9260000000000002</v>
      </c>
      <c r="W21" s="3">
        <f>B21+E21</f>
        <v>69260000</v>
      </c>
      <c r="X21" s="5">
        <f>$Z$36/$Z$37</f>
        <v>68555404.164000005</v>
      </c>
      <c r="Y21" s="7"/>
    </row>
    <row r="22" spans="1:27" x14ac:dyDescent="0.2">
      <c r="A22" t="s">
        <v>14</v>
      </c>
      <c r="B22" s="5">
        <v>530000</v>
      </c>
      <c r="C22" s="6">
        <v>8.9999999999999993E-3</v>
      </c>
      <c r="D22" s="5">
        <v>340</v>
      </c>
      <c r="E22" s="5">
        <v>42390000</v>
      </c>
      <c r="F22" s="6">
        <v>0.61040000000000005</v>
      </c>
      <c r="G22" s="6">
        <v>3.9800000000000002E-2</v>
      </c>
      <c r="H22">
        <v>8</v>
      </c>
      <c r="I22">
        <v>19</v>
      </c>
      <c r="J22">
        <v>17</v>
      </c>
      <c r="K22" s="2">
        <f>MAX(0,10-MAX(N22,O22)-Q22-R22)</f>
        <v>3.1530185119259526</v>
      </c>
      <c r="L22" s="2">
        <f>ROUNDUP(K22,0)</f>
        <v>4</v>
      </c>
      <c r="M22" s="2" t="str">
        <f>IF(K22&lt;=2,"F",IF(K22&lt;=4,"D",IF(K22&lt;=6,"C",IF(K22&lt;=8,"B",IF(K22&lt;=10,"A","TEST")))))</f>
        <v>D</v>
      </c>
      <c r="N22" s="4">
        <f>10*(T22)^$Z$11</f>
        <v>6.3969814880740472</v>
      </c>
      <c r="O22" s="14">
        <f>2*(P22)^($Z$12)</f>
        <v>0.32576733665760921</v>
      </c>
      <c r="P22" s="15">
        <f>(W22)/(X22*$Z$13)</f>
        <v>0.69562552318714799</v>
      </c>
      <c r="Q22" s="7">
        <f>$Z$14*C22</f>
        <v>0.44999999999999996</v>
      </c>
      <c r="R22" s="7">
        <f>$Z$15*(D22-$Z$16)/E22</f>
        <v>0</v>
      </c>
      <c r="S22" s="7" t="str">
        <f>IF(T22&gt;U22,"LEFT","RIGHT")</f>
        <v>LEFT</v>
      </c>
      <c r="T22" s="7">
        <f>V22/$Z$17</f>
        <v>0.79981132075471695</v>
      </c>
      <c r="U22" s="7">
        <f>W22/X22</f>
        <v>0.62606297086843321</v>
      </c>
      <c r="V22" s="10">
        <f>E22/B22</f>
        <v>79.981132075471692</v>
      </c>
      <c r="W22" s="3">
        <f>B22+E22</f>
        <v>42920000</v>
      </c>
      <c r="X22" s="5">
        <f>$Z$36/$Z$37</f>
        <v>68555404.164000005</v>
      </c>
      <c r="Y22" s="7"/>
    </row>
    <row r="23" spans="1:27" x14ac:dyDescent="0.2">
      <c r="A23" t="s">
        <v>12</v>
      </c>
      <c r="B23" s="5">
        <v>500000</v>
      </c>
      <c r="C23" s="6">
        <v>8.0000000000000002E-3</v>
      </c>
      <c r="D23" s="5">
        <v>340</v>
      </c>
      <c r="E23" s="5">
        <v>47650000</v>
      </c>
      <c r="F23" s="6">
        <v>0.68620000000000003</v>
      </c>
      <c r="G23" s="6">
        <v>3.8899999999999997E-2</v>
      </c>
      <c r="H23">
        <v>6</v>
      </c>
      <c r="I23">
        <v>17</v>
      </c>
      <c r="J23">
        <v>365</v>
      </c>
      <c r="K23" s="2">
        <f>MAX(0,10-MAX(N23,O23)-Q23-R23)</f>
        <v>0.51791000000000087</v>
      </c>
      <c r="L23" s="2">
        <f>ROUNDUP(K23,0)</f>
        <v>1</v>
      </c>
      <c r="M23" s="2" t="str">
        <f>IF(K23&lt;=2,"F",IF(K23&lt;=4,"D",IF(K23&lt;=6,"C",IF(K23&lt;=8,"B",IF(K23&lt;=10,"A","TEST")))))</f>
        <v>F</v>
      </c>
      <c r="N23" s="4">
        <f>10*(T23)^$Z$11</f>
        <v>9.0820899999999991</v>
      </c>
      <c r="O23" s="14">
        <f>2*(P23)^($Z$12)</f>
        <v>0.57888250975982924</v>
      </c>
      <c r="P23" s="15">
        <f>(W23)/(X23*$Z$13)</f>
        <v>0.78039070227076368</v>
      </c>
      <c r="Q23" s="7">
        <f>$Z$14*C23</f>
        <v>0.4</v>
      </c>
      <c r="R23" s="7">
        <f>$Z$15*(D23-$Z$16)/E23</f>
        <v>0</v>
      </c>
      <c r="S23" s="7" t="str">
        <f>IF(T23&gt;U23,"LEFT","RIGHT")</f>
        <v>LEFT</v>
      </c>
      <c r="T23" s="7">
        <f>V23/$Z$17</f>
        <v>0.95299999999999996</v>
      </c>
      <c r="U23" s="7">
        <f>W23/X23</f>
        <v>0.70235163204368734</v>
      </c>
      <c r="V23" s="10">
        <f>E23/B23</f>
        <v>95.3</v>
      </c>
      <c r="W23" s="3">
        <f>B23+E23</f>
        <v>48150000</v>
      </c>
      <c r="X23" s="5">
        <f>$Z$36/$Z$37</f>
        <v>68555404.164000005</v>
      </c>
      <c r="Y23" s="7"/>
    </row>
    <row r="24" spans="1:27" x14ac:dyDescent="0.2">
      <c r="A24" t="s">
        <v>9</v>
      </c>
      <c r="B24" s="5">
        <v>1000</v>
      </c>
      <c r="C24" s="6">
        <v>0</v>
      </c>
      <c r="D24" s="5">
        <v>340</v>
      </c>
      <c r="E24" s="5">
        <v>47960000</v>
      </c>
      <c r="F24" s="6">
        <v>0.69059999999999999</v>
      </c>
      <c r="G24" s="6">
        <v>4.1300000000000003E-2</v>
      </c>
      <c r="H24">
        <v>3</v>
      </c>
      <c r="I24">
        <v>2000</v>
      </c>
      <c r="J24">
        <v>747</v>
      </c>
      <c r="K24" s="2">
        <f>MAX(0,10-MAX(N24,O24)-Q24-R24)</f>
        <v>0</v>
      </c>
      <c r="L24" s="2">
        <f>ROUNDUP(K24,0)</f>
        <v>0</v>
      </c>
      <c r="M24" s="2" t="str">
        <f>IF(K24&lt;=2,"F",IF(K24&lt;=4,"D",IF(K24&lt;=6,"C",IF(K24&lt;=8,"B",IF(K24&lt;=10,"A","TEST")))))</f>
        <v>F</v>
      </c>
      <c r="N24" s="4">
        <f>10*(T24)^$Z$11</f>
        <v>2300161.6000000006</v>
      </c>
      <c r="O24" s="14">
        <f>2*(P24)^($Z$12)</f>
        <v>0.56761010591820471</v>
      </c>
      <c r="P24" s="15">
        <f>(W24)/(X24*$Z$13)</f>
        <v>0.77732748643007465</v>
      </c>
      <c r="Q24" s="7">
        <f>$Z$14*C24</f>
        <v>0</v>
      </c>
      <c r="R24" s="7">
        <f>$Z$15*(D24-$Z$16)/E24</f>
        <v>0</v>
      </c>
      <c r="S24" s="7" t="str">
        <f>IF(T24&gt;U24,"LEFT","RIGHT")</f>
        <v>LEFT</v>
      </c>
      <c r="T24" s="7">
        <f>V24/$Z$17</f>
        <v>479.6</v>
      </c>
      <c r="U24" s="7">
        <f>W24/X24</f>
        <v>0.69959473778706727</v>
      </c>
      <c r="V24" s="10">
        <f>E24/B24</f>
        <v>47960</v>
      </c>
      <c r="W24" s="3">
        <f>B24+E24</f>
        <v>47961000</v>
      </c>
      <c r="X24" s="5">
        <f>$Z$36/$Z$37</f>
        <v>68555404.164000005</v>
      </c>
      <c r="Y24" s="7"/>
    </row>
    <row r="25" spans="1:27" x14ac:dyDescent="0.2">
      <c r="A25" t="s">
        <v>11</v>
      </c>
      <c r="B25" s="5">
        <v>90000</v>
      </c>
      <c r="C25" s="6">
        <v>5.0000000000000001E-3</v>
      </c>
      <c r="D25" s="5">
        <v>340</v>
      </c>
      <c r="E25" s="5">
        <v>45030000</v>
      </c>
      <c r="F25" s="6">
        <v>0.64839999999999998</v>
      </c>
      <c r="G25" s="6">
        <v>3.8399999999999997E-2</v>
      </c>
      <c r="H25">
        <v>5</v>
      </c>
      <c r="I25">
        <v>22</v>
      </c>
      <c r="J25">
        <v>341</v>
      </c>
      <c r="K25" s="2">
        <f>MAX(0,10-MAX(N25,O25)-Q25-R25)</f>
        <v>0</v>
      </c>
      <c r="L25" s="2">
        <f>ROUNDUP(K25,0)</f>
        <v>0</v>
      </c>
      <c r="M25" s="2" t="str">
        <f>IF(K25&lt;=2,"F",IF(K25&lt;=4,"D",IF(K25&lt;=6,"C",IF(K25&lt;=8,"B",IF(K25&lt;=10,"A","TEST")))))</f>
        <v>F</v>
      </c>
      <c r="N25" s="4">
        <f>10*(T25)^$Z$11</f>
        <v>250.33344444444441</v>
      </c>
      <c r="O25" s="14">
        <f>2*(P25)^($Z$12)</f>
        <v>0.41826779382226181</v>
      </c>
      <c r="P25" s="15">
        <f>(W25)/(X25*$Z$13)</f>
        <v>0.7312820038724166</v>
      </c>
      <c r="Q25" s="7">
        <f>$Z$14*C25</f>
        <v>0.25</v>
      </c>
      <c r="R25" s="7">
        <f>$Z$15*(D25-$Z$16)/E25</f>
        <v>0</v>
      </c>
      <c r="S25" s="7" t="str">
        <f>IF(T25&gt;U25,"LEFT","RIGHT")</f>
        <v>LEFT</v>
      </c>
      <c r="T25" s="7">
        <f>V25/$Z$17</f>
        <v>5.003333333333333</v>
      </c>
      <c r="U25" s="7">
        <f>W25/X25</f>
        <v>0.65815380348517494</v>
      </c>
      <c r="V25" s="10">
        <f>E25/B25</f>
        <v>500.33333333333331</v>
      </c>
      <c r="W25" s="3">
        <f>B25+E25</f>
        <v>45120000</v>
      </c>
      <c r="X25" s="5">
        <f>$Z$36/$Z$37</f>
        <v>68555404.164000005</v>
      </c>
      <c r="Y25" s="7"/>
    </row>
    <row r="26" spans="1:27" x14ac:dyDescent="0.2">
      <c r="A26" t="s">
        <v>13</v>
      </c>
      <c r="B26" s="5">
        <v>400000</v>
      </c>
      <c r="C26" s="6">
        <v>8.0000000000000002E-3</v>
      </c>
      <c r="D26" s="5">
        <v>340</v>
      </c>
      <c r="E26" s="5">
        <v>44970000</v>
      </c>
      <c r="F26" s="6">
        <v>0.64759999999999995</v>
      </c>
      <c r="G26" s="6">
        <v>3.8199999999999998E-2</v>
      </c>
      <c r="H26">
        <v>7</v>
      </c>
      <c r="I26">
        <v>20</v>
      </c>
      <c r="J26">
        <v>64</v>
      </c>
      <c r="K26" s="2">
        <f>MAX(0,10-MAX(N26,O26)-Q26-R26)</f>
        <v>0</v>
      </c>
      <c r="L26" s="2">
        <f>ROUNDUP(K26,0)</f>
        <v>0</v>
      </c>
      <c r="M26" s="2" t="str">
        <f>IF(K26&lt;=2,"F",IF(K26&lt;=4,"D",IF(K26&lt;=6,"C",IF(K26&lt;=8,"B",IF(K26&lt;=10,"A","TEST")))))</f>
        <v>F</v>
      </c>
      <c r="N26" s="4">
        <f>10*(T26)^$Z$11</f>
        <v>12.639380624999998</v>
      </c>
      <c r="O26" s="14">
        <f>2*(P26)^($Z$12)</f>
        <v>0.42998456594850676</v>
      </c>
      <c r="P26" s="15">
        <f>(W26)/(X26*$Z$13)</f>
        <v>0.73533387667756067</v>
      </c>
      <c r="Q26" s="7">
        <f>$Z$14*C26</f>
        <v>0.4</v>
      </c>
      <c r="R26" s="7">
        <f>$Z$15*(D26-$Z$16)/E26</f>
        <v>0</v>
      </c>
      <c r="S26" s="7" t="str">
        <f>IF(T26&gt;U26,"LEFT","RIGHT")</f>
        <v>LEFT</v>
      </c>
      <c r="T26" s="7">
        <f>V26/$Z$17</f>
        <v>1.12425</v>
      </c>
      <c r="U26" s="7">
        <f>W26/X26</f>
        <v>0.66180048900980459</v>
      </c>
      <c r="V26" s="10">
        <f>E26/B26</f>
        <v>112.425</v>
      </c>
      <c r="W26" s="3">
        <f>B26+E26</f>
        <v>45370000</v>
      </c>
      <c r="X26" s="5">
        <f>$Z$36/$Z$37</f>
        <v>68555404.164000005</v>
      </c>
      <c r="Y26" s="7"/>
    </row>
    <row r="27" spans="1:27" x14ac:dyDescent="0.2">
      <c r="A27" t="s">
        <v>18</v>
      </c>
      <c r="B27" s="5">
        <v>440000</v>
      </c>
      <c r="C27" s="6">
        <v>0.01</v>
      </c>
      <c r="D27" s="5">
        <v>340</v>
      </c>
      <c r="E27" s="5">
        <v>48860000</v>
      </c>
      <c r="F27" s="6">
        <v>0.7036</v>
      </c>
      <c r="G27" s="6">
        <v>3.9800000000000002E-2</v>
      </c>
      <c r="H27">
        <v>12</v>
      </c>
      <c r="I27">
        <v>37</v>
      </c>
      <c r="J27">
        <v>20</v>
      </c>
      <c r="K27" s="2">
        <f>MAX(0,10-MAX(N27,O27)-Q27-R27)</f>
        <v>0</v>
      </c>
      <c r="L27" s="2">
        <f>ROUNDUP(K27,0)</f>
        <v>0</v>
      </c>
      <c r="M27" s="2" t="str">
        <f>IF(K27&lt;=2,"F",IF(K27&lt;=4,"D",IF(K27&lt;=6,"C",IF(K27&lt;=8,"B",IF(K27&lt;=10,"A","TEST")))))</f>
        <v>F</v>
      </c>
      <c r="N27" s="4">
        <f>10*(T27)^$Z$11</f>
        <v>12.331092975206611</v>
      </c>
      <c r="O27" s="14">
        <f>2*(P27)^($Z$12)</f>
        <v>0.65139371983216421</v>
      </c>
      <c r="P27" s="15">
        <f>(W27)/(X27*$Z$13)</f>
        <v>0.79902931717442682</v>
      </c>
      <c r="Q27" s="7">
        <f>$Z$14*C27</f>
        <v>0.5</v>
      </c>
      <c r="R27" s="7">
        <f>$Z$15*(D27-$Z$16)/E27</f>
        <v>0</v>
      </c>
      <c r="S27" s="7" t="str">
        <f>IF(T27&gt;U27,"LEFT","RIGHT")</f>
        <v>LEFT</v>
      </c>
      <c r="T27" s="7">
        <f>V27/$Z$17</f>
        <v>1.1104545454545454</v>
      </c>
      <c r="U27" s="7">
        <f>W27/X27</f>
        <v>0.71912638545698415</v>
      </c>
      <c r="V27" s="10">
        <f>E27/B27</f>
        <v>111.04545454545455</v>
      </c>
      <c r="W27" s="3">
        <f>B27+E27</f>
        <v>49300000</v>
      </c>
      <c r="X27" s="5">
        <f>$Z$36/$Z$37</f>
        <v>68555404.164000005</v>
      </c>
      <c r="Y27" s="7"/>
    </row>
    <row r="28" spans="1:27" x14ac:dyDescent="0.2">
      <c r="A28" t="s">
        <v>20</v>
      </c>
      <c r="B28" s="5">
        <v>135000</v>
      </c>
      <c r="C28" s="6">
        <v>8.8999999999999999E-3</v>
      </c>
      <c r="D28" s="5">
        <v>340</v>
      </c>
      <c r="E28" s="5">
        <v>40370000</v>
      </c>
      <c r="F28" s="6">
        <v>0.58130000000000004</v>
      </c>
      <c r="G28" s="6">
        <v>3.9899999999999998E-2</v>
      </c>
      <c r="H28">
        <v>14</v>
      </c>
      <c r="I28">
        <v>47</v>
      </c>
      <c r="J28">
        <v>253</v>
      </c>
      <c r="K28" s="2">
        <f>MAX(0,10-MAX(N28,O28)-Q28-R28)</f>
        <v>0</v>
      </c>
      <c r="L28" s="2">
        <f>ROUNDUP(K28,0)</f>
        <v>0</v>
      </c>
      <c r="M28" s="2" t="str">
        <f>IF(K28&lt;=2,"F",IF(K28&lt;=4,"D",IF(K28&lt;=6,"C",IF(K28&lt;=8,"B",IF(K28&lt;=10,"A","TEST")))))</f>
        <v>F</v>
      </c>
      <c r="N28" s="4">
        <f>10*(T28)^$Z$11</f>
        <v>89.423149519890217</v>
      </c>
      <c r="O28" s="14">
        <f>2*(P28)^($Z$12)</f>
        <v>0.24386650451605135</v>
      </c>
      <c r="P28" s="15">
        <f>(W28)/(X28*$Z$13)</f>
        <v>0.65648443188945549</v>
      </c>
      <c r="Q28" s="7">
        <f>$Z$14*C28</f>
        <v>0.44500000000000001</v>
      </c>
      <c r="R28" s="7">
        <f>$Z$15*(D28-$Z$16)/E28</f>
        <v>0</v>
      </c>
      <c r="S28" s="7" t="str">
        <f>IF(T28&gt;U28,"LEFT","RIGHT")</f>
        <v>LEFT</v>
      </c>
      <c r="T28" s="7">
        <f>V28/$Z$17</f>
        <v>2.9903703703703699</v>
      </c>
      <c r="U28" s="7">
        <f>W28/X28</f>
        <v>0.59083598870050991</v>
      </c>
      <c r="V28" s="10">
        <f>E28/B28</f>
        <v>299.03703703703701</v>
      </c>
      <c r="W28" s="3">
        <f>B28+E28</f>
        <v>40505000</v>
      </c>
      <c r="X28" s="5">
        <f>$Z$36/$Z$37</f>
        <v>68555404.164000005</v>
      </c>
      <c r="Y28" s="7"/>
    </row>
    <row r="29" spans="1:27" x14ac:dyDescent="0.2">
      <c r="A29" t="s">
        <v>22</v>
      </c>
      <c r="B29" s="5">
        <v>320000</v>
      </c>
      <c r="C29" s="6">
        <v>0</v>
      </c>
      <c r="D29" s="5">
        <v>340</v>
      </c>
      <c r="E29" s="5">
        <v>35300000</v>
      </c>
      <c r="F29" s="6">
        <v>0.50829999999999997</v>
      </c>
      <c r="G29" s="6">
        <v>3.6799999999999999E-2</v>
      </c>
      <c r="H29">
        <v>16</v>
      </c>
      <c r="I29">
        <v>114</v>
      </c>
      <c r="J29">
        <v>37</v>
      </c>
      <c r="K29" s="2">
        <f>MAX(0,10-MAX(N29,O29)-Q29-R29)</f>
        <v>0</v>
      </c>
      <c r="L29" s="2">
        <f>ROUNDUP(K29,0)</f>
        <v>0</v>
      </c>
      <c r="M29" s="2" t="str">
        <f>IF(K29&lt;=2,"F",IF(K29&lt;=4,"D",IF(K29&lt;=6,"C",IF(K29&lt;=8,"B",IF(K29&lt;=10,"A","TEST")))))</f>
        <v>F</v>
      </c>
      <c r="N29" s="4">
        <f>10*(T29)^$Z$11</f>
        <v>12.168847656249998</v>
      </c>
      <c r="O29" s="14">
        <f>2*(P29)^($Z$12)</f>
        <v>0.12825625256790871</v>
      </c>
      <c r="P29" s="15">
        <f>(W29)/(X29*$Z$13)</f>
        <v>0.57731083727693877</v>
      </c>
      <c r="Q29" s="7">
        <f>$Z$14*C29</f>
        <v>0</v>
      </c>
      <c r="R29" s="7">
        <f>$Z$15*(D29-$Z$16)/E29</f>
        <v>0</v>
      </c>
      <c r="S29" s="7" t="str">
        <f>IF(T29&gt;U29,"LEFT","RIGHT")</f>
        <v>LEFT</v>
      </c>
      <c r="T29" s="7">
        <f>V29/$Z$17</f>
        <v>1.1031249999999999</v>
      </c>
      <c r="U29" s="7">
        <f>W29/X29</f>
        <v>0.5195797535492449</v>
      </c>
      <c r="V29" s="10">
        <f>E29/B29</f>
        <v>110.3125</v>
      </c>
      <c r="W29" s="3">
        <f>B29+E29</f>
        <v>35620000</v>
      </c>
      <c r="X29" s="5">
        <f>$Z$36/$Z$37</f>
        <v>68555404.164000005</v>
      </c>
      <c r="Y29" s="7"/>
      <c r="Z29" s="8"/>
    </row>
    <row r="30" spans="1:27" x14ac:dyDescent="0.2">
      <c r="A30" t="s">
        <v>23</v>
      </c>
      <c r="B30" s="5">
        <v>300000</v>
      </c>
      <c r="C30" s="6">
        <v>0</v>
      </c>
      <c r="D30" s="5">
        <v>340</v>
      </c>
      <c r="E30" s="5">
        <v>37090000</v>
      </c>
      <c r="F30" s="6">
        <v>0.53410000000000002</v>
      </c>
      <c r="G30" s="6">
        <v>3.7999999999999999E-2</v>
      </c>
      <c r="H30">
        <v>17</v>
      </c>
      <c r="I30">
        <v>31</v>
      </c>
      <c r="J30">
        <v>56</v>
      </c>
      <c r="K30" s="2">
        <f>MAX(0,10-MAX(N30,O30)-Q30-R30)</f>
        <v>0</v>
      </c>
      <c r="L30" s="2">
        <f>ROUNDUP(K30,0)</f>
        <v>0</v>
      </c>
      <c r="M30" s="2" t="str">
        <f>IF(K30&lt;=2,"F",IF(K30&lt;=4,"D",IF(K30&lt;=6,"C",IF(K30&lt;=8,"B",IF(K30&lt;=10,"A","TEST")))))</f>
        <v>F</v>
      </c>
      <c r="N30" s="4">
        <f>10*(T30)^$Z$11</f>
        <v>15.285201111111116</v>
      </c>
      <c r="O30" s="14">
        <f>2*(P30)^($Z$12)</f>
        <v>0.16345051622428922</v>
      </c>
      <c r="P30" s="15">
        <f>(W30)/(X30*$Z$13)</f>
        <v>0.60599809673735938</v>
      </c>
      <c r="Q30" s="7">
        <f>$Z$14*C30</f>
        <v>0</v>
      </c>
      <c r="R30" s="7">
        <f>$Z$15*(D30-$Z$16)/E30</f>
        <v>0</v>
      </c>
      <c r="S30" s="7" t="str">
        <f>IF(T30&gt;U30,"LEFT","RIGHT")</f>
        <v>LEFT</v>
      </c>
      <c r="T30" s="7">
        <f>V30/$Z$17</f>
        <v>1.2363333333333335</v>
      </c>
      <c r="U30" s="7">
        <f>W30/X30</f>
        <v>0.54539828706362348</v>
      </c>
      <c r="V30" s="10">
        <f>E30/B30</f>
        <v>123.63333333333334</v>
      </c>
      <c r="W30" s="3">
        <f>B30+E30</f>
        <v>37390000</v>
      </c>
      <c r="X30" s="5">
        <f>$Z$36/$Z$37</f>
        <v>68555404.164000005</v>
      </c>
      <c r="Y30" s="7"/>
    </row>
    <row r="31" spans="1:27" x14ac:dyDescent="0.2">
      <c r="A31" t="s">
        <v>24</v>
      </c>
      <c r="B31" s="5">
        <v>1</v>
      </c>
      <c r="C31" s="6">
        <v>0</v>
      </c>
      <c r="D31" s="5">
        <v>340</v>
      </c>
      <c r="E31" s="5">
        <v>8373</v>
      </c>
      <c r="F31" s="6">
        <v>1E-4</v>
      </c>
      <c r="G31" s="6">
        <v>0</v>
      </c>
      <c r="H31">
        <v>18</v>
      </c>
      <c r="I31">
        <v>3</v>
      </c>
      <c r="J31">
        <v>65</v>
      </c>
      <c r="K31" s="2">
        <f>MAX(0,10-MAX(N31,O31)-Q31-R31)</f>
        <v>0</v>
      </c>
      <c r="L31" s="2">
        <f>ROUNDUP(K31,0)</f>
        <v>0</v>
      </c>
      <c r="M31" s="2" t="str">
        <f>IF(K31&lt;=2,"F",IF(K31&lt;=4,"D",IF(K31&lt;=6,"C",IF(K31&lt;=8,"B",IF(K31&lt;=10,"A","TEST")))))</f>
        <v>F</v>
      </c>
      <c r="N31" s="4">
        <f>10*(T31)^$Z$11</f>
        <v>70107.129000000001</v>
      </c>
      <c r="O31" s="14">
        <f>2*(P31)^($Z$12)</f>
        <v>9.2102995161580262E-20</v>
      </c>
      <c r="P31" s="15">
        <f>(W31)/(X31*$Z$13)</f>
        <v>1.3572153148110852E-4</v>
      </c>
      <c r="Q31" s="7">
        <f>$Z$14*C31</f>
        <v>0</v>
      </c>
      <c r="R31" s="7">
        <f>$Z$15*(D31-$Z$16)/E31</f>
        <v>0</v>
      </c>
      <c r="S31" s="7" t="str">
        <f>IF(T31&gt;U31,"LEFT","RIGHT")</f>
        <v>LEFT</v>
      </c>
      <c r="T31" s="7">
        <f>V31/$Z$17</f>
        <v>83.73</v>
      </c>
      <c r="U31" s="7">
        <f>W31/X31</f>
        <v>1.2214937833299766E-4</v>
      </c>
      <c r="V31" s="10">
        <f>E31/B31</f>
        <v>8373</v>
      </c>
      <c r="W31" s="3">
        <f>B31+E31</f>
        <v>8374</v>
      </c>
      <c r="X31" s="5">
        <f>$Z$36/$Z$37</f>
        <v>68555404.164000005</v>
      </c>
      <c r="Y31" s="7"/>
    </row>
    <row r="32" spans="1:27" x14ac:dyDescent="0.2">
      <c r="A32" t="s">
        <v>25</v>
      </c>
      <c r="B32" s="5">
        <v>150000</v>
      </c>
      <c r="C32" s="6">
        <v>0</v>
      </c>
      <c r="D32" s="5">
        <v>340</v>
      </c>
      <c r="E32" s="5">
        <v>33080000</v>
      </c>
      <c r="F32" s="6">
        <v>0.4763</v>
      </c>
      <c r="G32" s="6">
        <v>3.8300000000000001E-2</v>
      </c>
      <c r="H32">
        <v>19</v>
      </c>
      <c r="I32">
        <v>115</v>
      </c>
      <c r="J32">
        <v>233</v>
      </c>
      <c r="K32" s="2">
        <f>MAX(0,10-MAX(N32,O32)-Q32-R32)</f>
        <v>0</v>
      </c>
      <c r="L32" s="2">
        <f>ROUNDUP(K32,0)</f>
        <v>0</v>
      </c>
      <c r="M32" s="2" t="str">
        <f>IF(K32&lt;=2,"F",IF(K32&lt;=4,"D",IF(K32&lt;=6,"C",IF(K32&lt;=8,"B",IF(K32&lt;=10,"A","TEST")))))</f>
        <v>F</v>
      </c>
      <c r="N32" s="4">
        <f>10*(T32)^$Z$11</f>
        <v>48.634951111111107</v>
      </c>
      <c r="O32" s="14">
        <f>2*(P32)^($Z$12)</f>
        <v>9.0627641320313937E-2</v>
      </c>
      <c r="P32" s="15">
        <f>(W32)/(X32*$Z$13)</f>
        <v>0.53857493325976069</v>
      </c>
      <c r="Q32" s="7">
        <f>$Z$14*C32</f>
        <v>0</v>
      </c>
      <c r="R32" s="7">
        <f>$Z$15*(D32-$Z$16)/E32</f>
        <v>0</v>
      </c>
      <c r="S32" s="7" t="str">
        <f>IF(T32&gt;U32,"LEFT","RIGHT")</f>
        <v>LEFT</v>
      </c>
      <c r="T32" s="7">
        <f>V32/$Z$17</f>
        <v>2.2053333333333334</v>
      </c>
      <c r="U32" s="7">
        <f>W32/X32</f>
        <v>0.48471743993378463</v>
      </c>
      <c r="V32" s="10">
        <f>E32/B32</f>
        <v>220.53333333333333</v>
      </c>
      <c r="W32" s="3">
        <f>B32+E32</f>
        <v>33230000</v>
      </c>
      <c r="X32" s="5">
        <f>$Z$36/$Z$37</f>
        <v>68555404.164000005</v>
      </c>
      <c r="Y32" s="7"/>
    </row>
    <row r="33" spans="1:27" x14ac:dyDescent="0.2">
      <c r="A33" t="s">
        <v>27</v>
      </c>
      <c r="B33" s="5">
        <v>30000</v>
      </c>
      <c r="C33" s="6">
        <v>0.01</v>
      </c>
      <c r="D33" s="5">
        <v>340</v>
      </c>
      <c r="E33" s="5">
        <v>44343000</v>
      </c>
      <c r="F33" s="6">
        <v>0.63849999999999996</v>
      </c>
      <c r="G33" s="6">
        <v>4.4200000000000003E-2</v>
      </c>
      <c r="H33">
        <v>21</v>
      </c>
      <c r="I33">
        <v>295</v>
      </c>
      <c r="J33">
        <v>467</v>
      </c>
      <c r="K33" s="2">
        <f>MAX(0,10-MAX(N33,O33)-Q33-R33)</f>
        <v>0</v>
      </c>
      <c r="L33" s="2">
        <f>ROUNDUP(K33,0)</f>
        <v>0</v>
      </c>
      <c r="M33" s="2" t="str">
        <f>IF(K33&lt;=2,"F",IF(K33&lt;=4,"D",IF(K33&lt;=6,"C",IF(K33&lt;=8,"B",IF(K33&lt;=10,"A","TEST")))))</f>
        <v>F</v>
      </c>
      <c r="N33" s="4">
        <f>10*(T33)^$Z$11</f>
        <v>2184.7796099999996</v>
      </c>
      <c r="O33" s="14">
        <f>2*(P33)^($Z$12)</f>
        <v>0.384771529515129</v>
      </c>
      <c r="P33" s="15">
        <f>(W33)/(X33*$Z$13)</f>
        <v>0.71917500793064582</v>
      </c>
      <c r="Q33" s="7">
        <f>$Z$14*C33</f>
        <v>0.5</v>
      </c>
      <c r="R33" s="7">
        <f>$Z$15*(D33-$Z$16)/E33</f>
        <v>0</v>
      </c>
      <c r="S33" s="7" t="str">
        <f>IF(T33&gt;U33,"LEFT","RIGHT")</f>
        <v>LEFT</v>
      </c>
      <c r="T33" s="7">
        <f>V33/$Z$17</f>
        <v>14.780999999999999</v>
      </c>
      <c r="U33" s="7">
        <f>W33/X33</f>
        <v>0.64725750713758123</v>
      </c>
      <c r="V33" s="10">
        <f>E33/B33</f>
        <v>1478.1</v>
      </c>
      <c r="W33" s="3">
        <f>B33+E33</f>
        <v>44373000</v>
      </c>
      <c r="X33" s="5">
        <f>$Z$36/$Z$37</f>
        <v>68555404.164000005</v>
      </c>
      <c r="Y33" s="7"/>
    </row>
    <row r="34" spans="1:27" x14ac:dyDescent="0.2">
      <c r="A34" t="s">
        <v>28</v>
      </c>
      <c r="B34" s="5">
        <v>10000</v>
      </c>
      <c r="C34" s="6">
        <v>0.01</v>
      </c>
      <c r="D34" s="5">
        <v>340</v>
      </c>
      <c r="E34" s="5">
        <v>40910000</v>
      </c>
      <c r="F34" s="6">
        <v>0.58909999999999996</v>
      </c>
      <c r="G34" s="6">
        <v>3.95E-2</v>
      </c>
      <c r="H34">
        <v>22</v>
      </c>
      <c r="I34">
        <v>610</v>
      </c>
      <c r="J34">
        <v>651</v>
      </c>
      <c r="K34" s="2">
        <f>MAX(0,10-MAX(N34,O34)-Q34-R34)</f>
        <v>0</v>
      </c>
      <c r="L34" s="2">
        <f>ROUNDUP(K34,0)</f>
        <v>0</v>
      </c>
      <c r="M34" s="2" t="str">
        <f>IF(K34&lt;=2,"F",IF(K34&lt;=4,"D",IF(K34&lt;=6,"C",IF(K34&lt;=8,"B",IF(K34&lt;=10,"A","TEST")))))</f>
        <v>F</v>
      </c>
      <c r="N34" s="4">
        <f>10*(T34)^$Z$11</f>
        <v>16736.280999999995</v>
      </c>
      <c r="O34" s="14">
        <f>2*(P34)^($Z$12)</f>
        <v>0.25661798822803594</v>
      </c>
      <c r="P34" s="15">
        <f>(W34)/(X34*$Z$13)</f>
        <v>0.66321054074599484</v>
      </c>
      <c r="Q34" s="7">
        <f>$Z$14*C34</f>
        <v>0.5</v>
      </c>
      <c r="R34" s="7">
        <f>$Z$15*(D34-$Z$16)/E34</f>
        <v>0</v>
      </c>
      <c r="S34" s="7" t="str">
        <f>IF(T34&gt;U34,"LEFT","RIGHT")</f>
        <v>LEFT</v>
      </c>
      <c r="T34" s="7">
        <f>V34/$Z$17</f>
        <v>40.909999999999997</v>
      </c>
      <c r="U34" s="7">
        <f>W34/X34</f>
        <v>0.5968894866713953</v>
      </c>
      <c r="V34" s="10">
        <f>E34/B34</f>
        <v>4091</v>
      </c>
      <c r="W34" s="3">
        <f>B34+E34</f>
        <v>40920000</v>
      </c>
      <c r="X34" s="5">
        <f>$Z$36/$Z$37</f>
        <v>68555404.164000005</v>
      </c>
      <c r="Y34" s="7"/>
    </row>
    <row r="35" spans="1:27" x14ac:dyDescent="0.2">
      <c r="A35" t="s">
        <v>30</v>
      </c>
      <c r="B35" s="5">
        <v>25000</v>
      </c>
      <c r="C35" s="6">
        <v>0</v>
      </c>
      <c r="D35" s="5">
        <v>340</v>
      </c>
      <c r="E35" s="5">
        <v>36310000</v>
      </c>
      <c r="F35" s="6">
        <v>0.52290000000000003</v>
      </c>
      <c r="G35" s="6">
        <v>3.9800000000000002E-2</v>
      </c>
      <c r="H35">
        <v>24</v>
      </c>
      <c r="I35">
        <v>280</v>
      </c>
      <c r="J35">
        <v>545</v>
      </c>
      <c r="K35" s="2">
        <f>MAX(0,10-MAX(N35,O35)-Q35-R35)</f>
        <v>0</v>
      </c>
      <c r="L35" s="2">
        <f>ROUNDUP(K35,0)</f>
        <v>0</v>
      </c>
      <c r="M35" s="2" t="str">
        <f>IF(K35&lt;=2,"F",IF(K35&lt;=4,"D",IF(K35&lt;=6,"C",IF(K35&lt;=8,"B",IF(K35&lt;=10,"A","TEST")))))</f>
        <v>F</v>
      </c>
      <c r="N35" s="4">
        <f>10*(T35)^$Z$11</f>
        <v>2109.46576</v>
      </c>
      <c r="O35" s="14">
        <f>2*(P35)^($Z$12)</f>
        <v>0.14165594100880802</v>
      </c>
      <c r="P35" s="15">
        <f>(W35)/(X35*$Z$13)</f>
        <v>0.58889919349965103</v>
      </c>
      <c r="Q35" s="7">
        <f>$Z$14*C35</f>
        <v>0</v>
      </c>
      <c r="R35" s="7">
        <f>$Z$15*(D35-$Z$16)/E35</f>
        <v>0</v>
      </c>
      <c r="S35" s="7" t="str">
        <f>IF(T35&gt;U35,"LEFT","RIGHT")</f>
        <v>LEFT</v>
      </c>
      <c r="T35" s="7">
        <f>V35/$Z$17</f>
        <v>14.524000000000001</v>
      </c>
      <c r="U35" s="7">
        <f>W35/X35</f>
        <v>0.53000927414968591</v>
      </c>
      <c r="V35" s="10">
        <f>E35/B35</f>
        <v>1452.4</v>
      </c>
      <c r="W35" s="3">
        <f>B35+E35</f>
        <v>36335000</v>
      </c>
      <c r="X35" s="5">
        <f>$Z$36/$Z$37</f>
        <v>68555404.164000005</v>
      </c>
      <c r="Y35" s="7"/>
    </row>
    <row r="36" spans="1:27" x14ac:dyDescent="0.2">
      <c r="A36" t="s">
        <v>31</v>
      </c>
      <c r="B36" s="5">
        <v>1000</v>
      </c>
      <c r="C36" s="6">
        <v>0</v>
      </c>
      <c r="D36" s="5">
        <v>340</v>
      </c>
      <c r="E36" s="5">
        <v>30340000</v>
      </c>
      <c r="F36" s="6">
        <v>0.43690000000000001</v>
      </c>
      <c r="G36" s="6">
        <v>3.5299999999999998E-2</v>
      </c>
      <c r="H36">
        <v>25</v>
      </c>
      <c r="I36">
        <v>867</v>
      </c>
      <c r="J36">
        <v>984</v>
      </c>
      <c r="K36" s="2">
        <f>MAX(0,10-MAX(N36,O36)-Q36-R36)</f>
        <v>0</v>
      </c>
      <c r="L36" s="2">
        <f>ROUNDUP(K36,0)</f>
        <v>0</v>
      </c>
      <c r="M36" s="2" t="str">
        <f>IF(K36&lt;=2,"F",IF(K36&lt;=4,"D",IF(K36&lt;=6,"C",IF(K36&lt;=8,"B",IF(K36&lt;=10,"A","TEST")))))</f>
        <v>F</v>
      </c>
      <c r="N36" s="4">
        <f>10*(T36)^$Z$11</f>
        <v>920515.59999999986</v>
      </c>
      <c r="O36" s="14">
        <f>2*(P36)^($Z$12)</f>
        <v>5.7511993712265216E-2</v>
      </c>
      <c r="P36" s="15">
        <f>(W36)/(X36*$Z$13)</f>
        <v>0.49175149112351485</v>
      </c>
      <c r="Q36" s="7">
        <f>$Z$14*C36</f>
        <v>0</v>
      </c>
      <c r="R36" s="7">
        <f>$Z$15*(D36-$Z$16)/E36</f>
        <v>0</v>
      </c>
      <c r="S36" s="7" t="str">
        <f>IF(T36&gt;U36,"LEFT","RIGHT")</f>
        <v>LEFT</v>
      </c>
      <c r="T36" s="7">
        <f>V36/$Z$17</f>
        <v>303.39999999999998</v>
      </c>
      <c r="U36" s="7">
        <f>W36/X36</f>
        <v>0.44257634201116336</v>
      </c>
      <c r="V36" s="10">
        <f>E36/B36</f>
        <v>30340</v>
      </c>
      <c r="W36" s="3">
        <f>B36+E36</f>
        <v>30341000</v>
      </c>
      <c r="X36" s="5">
        <f>$Z$36/$Z$37</f>
        <v>68555404.164000005</v>
      </c>
      <c r="Z36" s="9">
        <v>34277702082</v>
      </c>
      <c r="AA36" t="s">
        <v>68</v>
      </c>
    </row>
    <row r="37" spans="1:27" x14ac:dyDescent="0.2">
      <c r="A37" t="s">
        <v>32</v>
      </c>
      <c r="B37" s="5">
        <v>100</v>
      </c>
      <c r="C37" s="6">
        <v>0</v>
      </c>
      <c r="D37" s="5">
        <v>340</v>
      </c>
      <c r="E37" s="5">
        <v>33780000</v>
      </c>
      <c r="F37" s="6">
        <v>0.4864</v>
      </c>
      <c r="G37" s="6">
        <v>3.8800000000000001E-2</v>
      </c>
      <c r="H37">
        <v>26</v>
      </c>
      <c r="I37">
        <v>2000</v>
      </c>
      <c r="J37">
        <v>1983</v>
      </c>
      <c r="K37" s="2">
        <f>MAX(0,10-MAX(N37,O37)-Q37-R37)</f>
        <v>0</v>
      </c>
      <c r="L37" s="2">
        <f>ROUNDUP(K37,0)</f>
        <v>0</v>
      </c>
      <c r="M37" s="2" t="str">
        <f>IF(K37&lt;=2,"F",IF(K37&lt;=4,"D",IF(K37&lt;=6,"C",IF(K37&lt;=8,"B",IF(K37&lt;=10,"A","TEST")))))</f>
        <v>F</v>
      </c>
      <c r="N37" s="4">
        <f>10*(T37)^$Z$11</f>
        <v>114108840</v>
      </c>
      <c r="O37" s="14">
        <f>2*(P37)^($Z$12)</f>
        <v>9.8381541989511434E-2</v>
      </c>
      <c r="P37" s="15">
        <f>(W37)/(X37*$Z$13)</f>
        <v>0.54749067418019992</v>
      </c>
      <c r="Q37" s="7">
        <f>$Z$14*C37</f>
        <v>0</v>
      </c>
      <c r="R37" s="7">
        <f>$Z$15*(D37-$Z$16)/E37</f>
        <v>0</v>
      </c>
      <c r="S37" s="7" t="str">
        <f>IF(T37&gt;U37,"LEFT","RIGHT")</f>
        <v>LEFT</v>
      </c>
      <c r="T37" s="7">
        <f>V37/$Z$17</f>
        <v>3378</v>
      </c>
      <c r="U37" s="7">
        <f>W37/X37</f>
        <v>0.49274160676217987</v>
      </c>
      <c r="V37" s="10">
        <f>E37/B37</f>
        <v>337800</v>
      </c>
      <c r="W37" s="3">
        <f>B37+E37</f>
        <v>33780100</v>
      </c>
      <c r="X37" s="5">
        <f>$Z$36/$Z$37</f>
        <v>68555404.164000005</v>
      </c>
      <c r="Z37">
        <v>500</v>
      </c>
      <c r="AA37" t="s">
        <v>61</v>
      </c>
    </row>
    <row r="38" spans="1:27" x14ac:dyDescent="0.2">
      <c r="A38" t="s">
        <v>38</v>
      </c>
      <c r="B38" s="5">
        <v>40000</v>
      </c>
      <c r="C38" s="6">
        <v>5.0000000000000001E-3</v>
      </c>
      <c r="D38" s="5">
        <v>340</v>
      </c>
      <c r="E38" s="5">
        <v>34050000</v>
      </c>
      <c r="F38" s="6">
        <v>0.4904</v>
      </c>
      <c r="G38" s="6">
        <v>3.5400000000000001E-2</v>
      </c>
      <c r="H38">
        <v>32</v>
      </c>
      <c r="I38">
        <v>139</v>
      </c>
      <c r="J38">
        <v>479</v>
      </c>
      <c r="K38" s="2">
        <f>MAX(0,10-MAX(N38,O38)-Q38-R38)</f>
        <v>0</v>
      </c>
      <c r="L38" s="2">
        <f>ROUNDUP(K38,0)</f>
        <v>0</v>
      </c>
      <c r="M38" s="2" t="str">
        <f>IF(K38&lt;=2,"F",IF(K38&lt;=4,"D",IF(K38&lt;=6,"C",IF(K38&lt;=8,"B",IF(K38&lt;=10,"A","TEST")))))</f>
        <v>F</v>
      </c>
      <c r="N38" s="4">
        <f>10*(T38)^$Z$11</f>
        <v>724.62656249999998</v>
      </c>
      <c r="O38" s="14">
        <f>2*(P38)^($Z$12)</f>
        <v>0.10297788714519121</v>
      </c>
      <c r="P38" s="15">
        <f>(W38)/(X38*$Z$13)</f>
        <v>0.55251337570945658</v>
      </c>
      <c r="Q38" s="7">
        <f>$Z$14*C38</f>
        <v>0.25</v>
      </c>
      <c r="R38" s="7">
        <f>$Z$15*(D38-$Z$16)/E38</f>
        <v>0</v>
      </c>
      <c r="S38" s="7" t="str">
        <f>IF(T38&gt;U38,"LEFT","RIGHT")</f>
        <v>LEFT</v>
      </c>
      <c r="T38" s="7">
        <f>V38/$Z$17</f>
        <v>8.5124999999999993</v>
      </c>
      <c r="U38" s="7">
        <f>W38/X38</f>
        <v>0.49726203813851089</v>
      </c>
      <c r="V38" s="10">
        <f>E38/B38</f>
        <v>851.25</v>
      </c>
      <c r="W38" s="3">
        <f>B38+E38</f>
        <v>34090000</v>
      </c>
      <c r="X38" s="5">
        <f>$Z$36/$Z$37</f>
        <v>68555404.164000005</v>
      </c>
      <c r="Z38">
        <f>Z36/Z37</f>
        <v>68555404.164000005</v>
      </c>
      <c r="AA38" t="s">
        <v>60</v>
      </c>
    </row>
    <row r="39" spans="1:27" x14ac:dyDescent="0.2">
      <c r="A39" t="s">
        <v>69</v>
      </c>
      <c r="B39" s="5">
        <v>10000</v>
      </c>
      <c r="C39" s="6">
        <v>2.5000000000000001E-2</v>
      </c>
      <c r="D39" s="5">
        <v>340</v>
      </c>
      <c r="E39" s="13">
        <f>60000000-B39</f>
        <v>59990000</v>
      </c>
      <c r="F39" s="6">
        <f>(B39+E39)/X39</f>
        <v>0.87520452591113684</v>
      </c>
      <c r="G39" s="6">
        <v>0</v>
      </c>
      <c r="H39">
        <v>1968</v>
      </c>
      <c r="I39">
        <v>2000</v>
      </c>
      <c r="J39">
        <v>1420</v>
      </c>
      <c r="K39" s="2">
        <f>MAX(0,10-MAX(N39,O39)-Q39-R39)</f>
        <v>0</v>
      </c>
      <c r="L39" s="2">
        <f>ROUNDUP(K39,0)</f>
        <v>0</v>
      </c>
      <c r="M39" s="2" t="str">
        <f>IF(K39&lt;=2,"F",IF(K39&lt;=4,"D",IF(K39&lt;=6,"C",IF(K39&lt;=8,"B",IF(K39&lt;=10,"A","TEST")))))</f>
        <v>F</v>
      </c>
      <c r="N39" s="4">
        <f>10*(T39)^$Z$11</f>
        <v>35988.001000000004</v>
      </c>
      <c r="O39" s="14">
        <f>2*(P39)^($Z$12)</f>
        <v>1.7392628580233085</v>
      </c>
      <c r="P39" s="15">
        <f>(W39)/(X39*$Z$13)</f>
        <v>0.97244947323459652</v>
      </c>
      <c r="Q39" s="7">
        <f>$Z$14*C39</f>
        <v>1.25</v>
      </c>
      <c r="R39" s="7">
        <f>$Z$15*(D39-$Z$16)/E39</f>
        <v>0</v>
      </c>
      <c r="S39" s="7" t="str">
        <f>IF(T39&gt;U39,"LEFT","RIGHT")</f>
        <v>LEFT</v>
      </c>
      <c r="T39" s="7">
        <f>V39/$Z$17</f>
        <v>59.99</v>
      </c>
      <c r="U39" s="7">
        <f>W39/X39</f>
        <v>0.87520452591113684</v>
      </c>
      <c r="V39" s="10">
        <f>E39/B39</f>
        <v>5999</v>
      </c>
      <c r="W39" s="3">
        <f>B39+E39</f>
        <v>60000000</v>
      </c>
      <c r="X39" s="5">
        <f>$Z$36/$Z$37</f>
        <v>68555404.164000005</v>
      </c>
    </row>
    <row r="40" spans="1:27" x14ac:dyDescent="0.2">
      <c r="A40" t="s">
        <v>73</v>
      </c>
      <c r="B40" s="5">
        <v>68000000</v>
      </c>
      <c r="C40" s="6">
        <v>2.5000000000000001E-2</v>
      </c>
      <c r="D40" s="5">
        <v>340</v>
      </c>
      <c r="E40" s="13">
        <v>68000000</v>
      </c>
      <c r="F40" s="6">
        <f>(B40+E40)/X40</f>
        <v>1.9837969253985768</v>
      </c>
      <c r="G40" s="6">
        <v>0</v>
      </c>
      <c r="H40">
        <v>1968</v>
      </c>
      <c r="I40">
        <v>2000</v>
      </c>
      <c r="J40">
        <v>1420</v>
      </c>
      <c r="K40" s="2">
        <f>MAX(0,10-MAX(N40,O40)-Q40-R40)</f>
        <v>0</v>
      </c>
      <c r="L40" s="2">
        <f>ROUNDUP(K40,0)</f>
        <v>0</v>
      </c>
      <c r="M40" s="2" t="str">
        <f>IF(K40&lt;=2,"F",IF(K40&lt;=4,"D",IF(K40&lt;=6,"C",IF(K40&lt;=8,"B",IF(K40&lt;=10,"A","TEST")))))</f>
        <v>F</v>
      </c>
      <c r="N40" s="4">
        <f>10*(T40)^$Z$11</f>
        <v>1E-3</v>
      </c>
      <c r="O40" s="14">
        <f>2*(P40)^($Z$12)</f>
        <v>104.06471822451465</v>
      </c>
      <c r="P40" s="15">
        <f>(W40)/(X40*$Z$13)</f>
        <v>2.2042188059984187</v>
      </c>
      <c r="Q40" s="7">
        <f>$Z$14*C40</f>
        <v>1.25</v>
      </c>
      <c r="R40" s="7">
        <f>$Z$15*(D40-$Z$16)/E40</f>
        <v>0</v>
      </c>
      <c r="S40" s="7" t="str">
        <f>IF(T40&gt;U40,"LEFT","RIGHT")</f>
        <v>RIGHT</v>
      </c>
      <c r="T40" s="7">
        <f>V40/$Z$17</f>
        <v>0.01</v>
      </c>
      <c r="U40" s="7">
        <f>W40/X40</f>
        <v>1.9837969253985768</v>
      </c>
      <c r="V40" s="10">
        <f>E40/B40</f>
        <v>1</v>
      </c>
      <c r="W40" s="3">
        <f>B40+E40</f>
        <v>136000000</v>
      </c>
      <c r="X40" s="5">
        <f>$Z$36/$Z$37</f>
        <v>68555404.164000005</v>
      </c>
    </row>
  </sheetData>
  <autoFilter ref="A1:X37" xr:uid="{E20C68E4-ACF1-DA47-99E6-80EAAD820670}">
    <sortState xmlns:xlrd2="http://schemas.microsoft.com/office/spreadsheetml/2017/richdata2" ref="A2:X40">
      <sortCondition descending="1" ref="K1:K40"/>
    </sortState>
  </autoFilter>
  <conditionalFormatting sqref="H2:H40">
    <cfRule type="colorScale" priority="22">
      <colorScale>
        <cfvo type="min"/>
        <cfvo type="max"/>
        <color rgb="FF73FB79"/>
        <color rgb="FFFF7E79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">
    <cfRule type="colorScale" priority="21">
      <colorScale>
        <cfvo type="min"/>
        <cfvo type="max"/>
        <color rgb="FF73FB79"/>
        <color rgb="FFFF7E79"/>
      </colorScale>
    </cfRule>
  </conditionalFormatting>
  <conditionalFormatting sqref="J2:J40">
    <cfRule type="colorScale" priority="20">
      <colorScale>
        <cfvo type="min"/>
        <cfvo type="max"/>
        <color rgb="FF73FB79"/>
        <color rgb="FFFF7E79"/>
      </colorScale>
    </cfRule>
  </conditionalFormatting>
  <conditionalFormatting sqref="K2:M40">
    <cfRule type="colorScale" priority="24">
      <colorScale>
        <cfvo type="min"/>
        <cfvo type="max"/>
        <color rgb="FFFF7E79"/>
        <color rgb="FF73FB79"/>
      </colorScale>
    </cfRule>
  </conditionalFormatting>
  <conditionalFormatting sqref="G2:G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0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6" operator="equal">
      <formula>"F"</formula>
    </cfRule>
    <cfRule type="cellIs" dxfId="3" priority="7" operator="equal">
      <formula>"D"</formula>
    </cfRule>
    <cfRule type="cellIs" dxfId="2" priority="8" operator="equal">
      <formula>"C"</formula>
    </cfRule>
    <cfRule type="cellIs" dxfId="1" priority="9" operator="equal">
      <formula>"B"</formula>
    </cfRule>
    <cfRule type="cellIs" dxfId="0" priority="10" operator="equal">
      <formula>"A"</formula>
    </cfRule>
    <cfRule type="colorScale" priority="11">
      <colorScale>
        <cfvo type="min"/>
        <cfvo type="max"/>
        <color rgb="FF73FB79"/>
        <color rgb="FFFF7E7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Garant</dc:creator>
  <cp:lastModifiedBy>Christophe Garant</cp:lastModifiedBy>
  <dcterms:created xsi:type="dcterms:W3CDTF">2022-07-29T11:03:24Z</dcterms:created>
  <dcterms:modified xsi:type="dcterms:W3CDTF">2022-08-10T12:16:47Z</dcterms:modified>
</cp:coreProperties>
</file>