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rilcloud-my.sharepoint.com/personal/manu_chopra_ril_com/Documents/Documents/ImportantFolders/Excel/"/>
    </mc:Choice>
  </mc:AlternateContent>
  <xr:revisionPtr revIDLastSave="372" documentId="8_{23AE717E-5DED-471B-981B-FDBD863910C5}" xr6:coauthVersionLast="47" xr6:coauthVersionMax="47" xr10:uidLastSave="{9D9E14B4-D00E-4378-B575-C2FB552433F9}"/>
  <bookViews>
    <workbookView xWindow="-28920" yWindow="-120" windowWidth="29040" windowHeight="15720" tabRatio="708" activeTab="5" xr2:uid="{8816E568-F740-4BBF-8ADC-5E361CA6C0EC}"/>
  </bookViews>
  <sheets>
    <sheet name="Loan" sheetId="1" r:id="rId1"/>
    <sheet name="Splitting" sheetId="2" r:id="rId2"/>
    <sheet name="Dynamic-Splitting" sheetId="3" r:id="rId3"/>
    <sheet name="Depreciation" sheetId="5" r:id="rId4"/>
    <sheet name="Depreciation-Dynamic-Splitting" sheetId="4" r:id="rId5"/>
    <sheet name="Value&amp;Rate" sheetId="6" r:id="rId6"/>
  </sheets>
  <externalReferences>
    <externalReference r:id="rId7"/>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6" l="1"/>
  <c r="C10" i="3" a="1"/>
  <c r="C10" i="3" s="1"/>
  <c r="AD13" i="1"/>
  <c r="S17" i="1"/>
  <c r="S16" i="1"/>
  <c r="CJ9" i="6"/>
  <c r="CA10" i="6"/>
  <c r="CB8" i="6"/>
  <c r="CC8" i="6" s="1"/>
  <c r="CD8" i="6" s="1"/>
  <c r="CE8" i="6" s="1"/>
  <c r="CF8" i="6" s="1"/>
  <c r="BR14" i="6"/>
  <c r="BR8" i="6"/>
  <c r="BS6" i="6"/>
  <c r="BT6" i="6" s="1"/>
  <c r="BU6" i="6" s="1"/>
  <c r="BV6" i="6" s="1"/>
  <c r="BW6" i="6" s="1"/>
  <c r="BI9" i="6"/>
  <c r="BJ7" i="6"/>
  <c r="BK7" i="6" s="1"/>
  <c r="BL7" i="6" s="1"/>
  <c r="BM7" i="6" s="1"/>
  <c r="BN7" i="6" s="1"/>
  <c r="AZ15" i="6"/>
  <c r="AZ9" i="6"/>
  <c r="BA7" i="6"/>
  <c r="BB7" i="6" s="1"/>
  <c r="BC7" i="6" s="1"/>
  <c r="BD7" i="6" s="1"/>
  <c r="BE7" i="6" s="1"/>
  <c r="AV17" i="6"/>
  <c r="AQ18" i="6"/>
  <c r="AR17" i="6"/>
  <c r="AS17" i="6"/>
  <c r="AT17" i="6"/>
  <c r="AU17" i="6"/>
  <c r="AQ17" i="6"/>
  <c r="AQ28" i="6"/>
  <c r="AR26" i="6"/>
  <c r="AS26" i="6" s="1"/>
  <c r="AT26" i="6" s="1"/>
  <c r="AU26" i="6" s="1"/>
  <c r="AV26" i="6" s="1"/>
  <c r="AS16" i="6"/>
  <c r="AT16" i="6" s="1"/>
  <c r="AU16" i="6" s="1"/>
  <c r="AV16" i="6" s="1"/>
  <c r="AR16" i="6"/>
  <c r="AQ11" i="6"/>
  <c r="AG11" i="6"/>
  <c r="Z8" i="6"/>
  <c r="AA8" i="6" s="1"/>
  <c r="AB8" i="6" s="1"/>
  <c r="AC8" i="6" s="1"/>
  <c r="Y8" i="6"/>
  <c r="Y13" i="6" a="1"/>
  <c r="Y13" i="6" s="1"/>
  <c r="Y7" i="6"/>
  <c r="Z7" i="6" s="1"/>
  <c r="AA7" i="6" s="1"/>
  <c r="AB7" i="6" s="1"/>
  <c r="AC7" i="6" s="1"/>
  <c r="S8" i="6"/>
  <c r="O7" i="6"/>
  <c r="P7" i="6" s="1"/>
  <c r="Q7" i="6" s="1"/>
  <c r="R7" i="6" s="1"/>
  <c r="S7" i="6" s="1"/>
  <c r="O5" i="6"/>
  <c r="P5" i="6" s="1"/>
  <c r="Q5" i="6" s="1"/>
  <c r="R5" i="6" s="1"/>
  <c r="S5" i="6" s="1"/>
  <c r="D17" i="6"/>
  <c r="E17" i="6" s="1"/>
  <c r="F17" i="6" s="1"/>
  <c r="G17" i="6" s="1"/>
  <c r="H17" i="6" s="1"/>
  <c r="D16" i="6"/>
  <c r="E16" i="6" s="1"/>
  <c r="F16" i="6" s="1"/>
  <c r="G16" i="6" s="1"/>
  <c r="H16" i="6" s="1"/>
  <c r="J17" i="6" s="1"/>
  <c r="C11" i="6"/>
  <c r="AQ12" i="6"/>
  <c r="AQ19" i="6"/>
  <c r="AH11" i="6"/>
  <c r="S9" i="6"/>
  <c r="H18" i="6"/>
  <c r="G18" i="6"/>
  <c r="F18" i="6"/>
  <c r="E18" i="6"/>
  <c r="D18" i="6"/>
  <c r="D11" i="6"/>
  <c r="AL12" i="5"/>
  <c r="AK12" i="5"/>
  <c r="AF10" i="5"/>
  <c r="AE10" i="5"/>
  <c r="AD10" i="5"/>
  <c r="AC10" i="5"/>
  <c r="S11" i="5"/>
  <c r="R11" i="5"/>
  <c r="D9" i="5"/>
  <c r="D8" i="5"/>
  <c r="V11" i="1"/>
  <c r="S12" i="1"/>
  <c r="S11" i="1"/>
  <c r="Y15" i="6" l="1" a="1"/>
  <c r="Y15" i="6" s="1"/>
  <c r="Y14" i="6" a="1"/>
  <c r="Y14" i="6" s="1"/>
  <c r="AH12" i="5" l="1" a="1"/>
  <c r="Y10" i="5" a="1"/>
  <c r="Y10" i="5" s="1"/>
  <c r="T12" i="5"/>
  <c r="T13" i="5" s="1"/>
  <c r="V11" i="5"/>
  <c r="U11" i="5"/>
  <c r="O11" i="5" a="1"/>
  <c r="O11" i="5" s="1"/>
  <c r="F10" i="5" a="1"/>
  <c r="F10" i="5" s="1"/>
  <c r="C9" i="5"/>
  <c r="C8" i="5"/>
  <c r="D10" i="4" a="1"/>
  <c r="D10" i="4" s="1"/>
  <c r="D9" i="4" a="1"/>
  <c r="D9" i="4" s="1"/>
  <c r="D8" i="4" a="1"/>
  <c r="D8" i="4" s="1"/>
  <c r="D11" i="4" s="1" a="1"/>
  <c r="D11" i="4" s="1"/>
  <c r="M10" i="5"/>
  <c r="L10" i="5"/>
  <c r="K10" i="5"/>
  <c r="J10" i="5"/>
  <c r="D20" i="4"/>
  <c r="D19" i="4"/>
  <c r="D18" i="4"/>
  <c r="D17" i="4"/>
  <c r="D16" i="4"/>
  <c r="AJ19" i="5" l="1"/>
  <c r="AI17" i="5"/>
  <c r="AJ17" i="5"/>
  <c r="AI13" i="5"/>
  <c r="AI14" i="5"/>
  <c r="AI18" i="5"/>
  <c r="AJ14" i="5"/>
  <c r="AJ18" i="5"/>
  <c r="AI15" i="5"/>
  <c r="AI19" i="5"/>
  <c r="AI16" i="5"/>
  <c r="AJ16" i="5"/>
  <c r="AH12" i="5"/>
  <c r="AJ15" i="5"/>
  <c r="AB10" i="5" a="1"/>
  <c r="AB10" i="5" s="1"/>
  <c r="AA10" i="5" a="1"/>
  <c r="AA10" i="5" s="1"/>
  <c r="Z10" i="5" a="1"/>
  <c r="Z10" i="5" s="1"/>
  <c r="U13" i="5"/>
  <c r="T14" i="5"/>
  <c r="V13" i="5"/>
  <c r="Q11" i="5" a="1"/>
  <c r="Q11" i="5" s="1"/>
  <c r="P11" i="5" a="1"/>
  <c r="P11" i="5" s="1"/>
  <c r="U12" i="5"/>
  <c r="V12" i="5"/>
  <c r="G10" i="5" a="1"/>
  <c r="G10" i="5" s="1"/>
  <c r="D15" i="4" a="1"/>
  <c r="D15" i="4" s="1"/>
  <c r="D14" i="4" a="1"/>
  <c r="D14" i="4" s="1"/>
  <c r="D13" i="4" a="1"/>
  <c r="D13" i="4" s="1"/>
  <c r="D12" i="4" a="1"/>
  <c r="D12" i="4" s="1"/>
  <c r="AJ12" i="5" l="1"/>
  <c r="AJ13" i="5"/>
  <c r="AI12" i="5"/>
  <c r="T15" i="5"/>
  <c r="V14" i="5"/>
  <c r="U14" i="5"/>
  <c r="H10" i="5" a="1"/>
  <c r="H10" i="5" s="1"/>
  <c r="I10" i="5" s="1" a="1"/>
  <c r="I10" i="5" s="1"/>
  <c r="T16" i="5" l="1"/>
  <c r="V15" i="5"/>
  <c r="U15" i="5"/>
  <c r="V16" i="5" l="1"/>
  <c r="U16" i="5"/>
  <c r="T17" i="5"/>
  <c r="T18" i="5" l="1"/>
  <c r="V17" i="5"/>
  <c r="U17" i="5"/>
  <c r="V18" i="5" l="1"/>
  <c r="U18" i="5"/>
  <c r="AM13" i="1"/>
  <c r="AM12" i="1"/>
  <c r="X11" i="1"/>
  <c r="T11" i="1"/>
  <c r="N11" i="1"/>
  <c r="AN11" i="1"/>
  <c r="AN10" i="1"/>
  <c r="AI11" i="1"/>
  <c r="AD11" i="1"/>
  <c r="Z9" i="1"/>
  <c r="V9" i="1"/>
  <c r="R12" i="1"/>
  <c r="R11" i="1"/>
  <c r="C9" i="3" a="1"/>
  <c r="C9" i="3" s="1"/>
  <c r="C8" i="3" a="1"/>
  <c r="C8" i="3" s="1"/>
  <c r="L11" i="2"/>
  <c r="K11" i="2"/>
  <c r="J11" i="2"/>
  <c r="I11" i="2"/>
  <c r="H11" i="2"/>
  <c r="G11" i="2"/>
  <c r="F11" i="2"/>
  <c r="E11" i="2"/>
  <c r="E12" i="2" s="1"/>
  <c r="D11" i="2"/>
  <c r="C11" i="2"/>
  <c r="L10" i="2"/>
  <c r="L12" i="2" s="1"/>
  <c r="K10" i="2"/>
  <c r="K12" i="2" s="1"/>
  <c r="J10" i="2"/>
  <c r="J12" i="2" s="1"/>
  <c r="I10" i="2"/>
  <c r="I12" i="2" s="1"/>
  <c r="H10" i="2"/>
  <c r="H12" i="2" s="1"/>
  <c r="G10" i="2"/>
  <c r="G12" i="2" s="1"/>
  <c r="F10" i="2"/>
  <c r="F12" i="2" s="1"/>
  <c r="E10" i="2"/>
  <c r="D10" i="2"/>
  <c r="D12" i="2" s="1"/>
  <c r="C10" i="2"/>
  <c r="C12" i="2" s="1"/>
  <c r="L9" i="2"/>
  <c r="K9" i="2"/>
  <c r="J9" i="2"/>
  <c r="I9" i="2"/>
  <c r="H9" i="2"/>
  <c r="G9" i="2"/>
  <c r="F9" i="2"/>
  <c r="E9" i="2"/>
  <c r="D9" i="2"/>
  <c r="C9" i="2"/>
  <c r="M11" i="1"/>
  <c r="M10" i="1"/>
  <c r="M12" i="1" s="1"/>
  <c r="C11" i="1"/>
  <c r="C12" i="1" s="1"/>
  <c r="H11" i="1"/>
  <c r="AB12" i="1"/>
  <c r="AH12" i="1"/>
  <c r="C16" i="3"/>
  <c r="C15" i="3"/>
  <c r="C14" i="3"/>
  <c r="C7" i="3"/>
  <c r="L17" i="2"/>
  <c r="D17" i="2"/>
  <c r="F16" i="2"/>
  <c r="H15" i="2"/>
  <c r="J14" i="2"/>
  <c r="K17" i="2"/>
  <c r="C17" i="2"/>
  <c r="E16" i="2"/>
  <c r="G15" i="2"/>
  <c r="I14" i="2"/>
  <c r="J17" i="2"/>
  <c r="L16" i="2"/>
  <c r="D16" i="2"/>
  <c r="F15" i="2"/>
  <c r="H14" i="2"/>
  <c r="I17" i="2"/>
  <c r="K16" i="2"/>
  <c r="C16" i="2"/>
  <c r="E15" i="2"/>
  <c r="G14" i="2"/>
  <c r="G16" i="2"/>
  <c r="H17" i="2"/>
  <c r="J16" i="2"/>
  <c r="L15" i="2"/>
  <c r="D15" i="2"/>
  <c r="F14" i="2"/>
  <c r="C14" i="2"/>
  <c r="G17" i="2"/>
  <c r="I16" i="2"/>
  <c r="K15" i="2"/>
  <c r="C15" i="2"/>
  <c r="E14" i="2"/>
  <c r="I15" i="2"/>
  <c r="F17" i="2"/>
  <c r="H16" i="2"/>
  <c r="J15" i="2"/>
  <c r="L14" i="2"/>
  <c r="D14" i="2"/>
  <c r="E17" i="2"/>
  <c r="K14" i="2"/>
  <c r="N12" i="1"/>
  <c r="N10" i="1"/>
  <c r="I11" i="1"/>
  <c r="D12" i="1"/>
  <c r="D11" i="1"/>
  <c r="R13" i="1" l="1"/>
  <c r="C11" i="3" a="1"/>
  <c r="C12" i="3" a="1"/>
  <c r="C12" i="3" s="1"/>
  <c r="L13" i="3" l="1"/>
  <c r="D13" i="3"/>
  <c r="H13" i="3"/>
  <c r="C11" i="3"/>
  <c r="C13" i="3" s="1"/>
  <c r="G13" i="3"/>
  <c r="K13" i="3"/>
  <c r="J13" i="3"/>
  <c r="I13" i="3"/>
  <c r="F13" i="3"/>
  <c r="E13"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<sst xmlns="http://schemas.openxmlformats.org/spreadsheetml/2006/main" count="469" uniqueCount="214">
  <si>
    <t>PMT</t>
  </si>
  <si>
    <t>Calculate a loan repayment</t>
  </si>
  <si>
    <t>Practical Usage</t>
  </si>
  <si>
    <t>Rate</t>
  </si>
  <si>
    <t>Annual interest rate</t>
  </si>
  <si>
    <t>Nper</t>
  </si>
  <si>
    <t>Term of Loan (Years)</t>
  </si>
  <si>
    <t>Pv</t>
  </si>
  <si>
    <t>Loan Amount</t>
  </si>
  <si>
    <t>Fv</t>
  </si>
  <si>
    <t>Amt Loan remaining</t>
  </si>
  <si>
    <t>Type</t>
  </si>
  <si>
    <t>Beginning or end of period</t>
  </si>
  <si>
    <t>Annual Repayment</t>
  </si>
  <si>
    <t>Monthly Repayment</t>
  </si>
  <si>
    <t>Formula: =PMT(Rate, Nper, Pv, Fv, Type)</t>
  </si>
  <si>
    <t>Interest Rate (Rate)</t>
  </si>
  <si>
    <t>Number of Periods (Nper)</t>
  </si>
  <si>
    <t>Principal / Present Value (Pv)</t>
  </si>
  <si>
    <t>Future Value (Fv)</t>
  </si>
  <si>
    <t>Payment Type (Type)</t>
  </si>
  <si>
    <t>PPMT &amp; IPMT</t>
  </si>
  <si>
    <t>Principal and interest payments</t>
  </si>
  <si>
    <t>Per</t>
  </si>
  <si>
    <t>Current period</t>
  </si>
  <si>
    <t>PPMT</t>
  </si>
  <si>
    <t>Principal Component</t>
  </si>
  <si>
    <t>IPMT</t>
  </si>
  <si>
    <t>Interest Component</t>
  </si>
  <si>
    <t>Total Monthly Repayment</t>
  </si>
  <si>
    <t>=PPMT(Rate, Per, Nper, Pv, Fv)</t>
  </si>
  <si>
    <t>=IPMT(Rate, Per, Nper, Pv, Fv)</t>
  </si>
  <si>
    <t>=PMT(Rate, Nper, Pv)</t>
  </si>
  <si>
    <t>Splitting Interest and Principal Payments</t>
  </si>
  <si>
    <t>Example; we borrow $1m over ten years at an interest rate of 7.5%</t>
  </si>
  <si>
    <t>Loan amount</t>
  </si>
  <si>
    <t>Interest Rate</t>
  </si>
  <si>
    <t xml:space="preserve">Term </t>
  </si>
  <si>
    <t>Function</t>
  </si>
  <si>
    <t>Year</t>
  </si>
  <si>
    <t>Interest Only</t>
  </si>
  <si>
    <t>Principal Only</t>
  </si>
  <si>
    <t>SUM</t>
  </si>
  <si>
    <t>A borrower has taken a loan of 1,000,000 at an annual interest rate of 7.5% for a term of 10 years. The objective is to calculate the annual repayment amount, interest component, and principal component for each year using the PMT, IPMT, and PPMT functions in Excel.</t>
  </si>
  <si>
    <t>A borrower has taken a loan of 950,000 for a term of 25 years at an annual interest rate of 5.45%. The objective is to calculate the principal and interest components of the first monthly repayment using the PPMT and IPMT functions</t>
  </si>
  <si>
    <t>A borrower is taking a loan of 950,000 with an annual interest rate of 5.45%, to be repaid over a period of 25 years. The objective is to calculate the monthly repayment amount using the PMT function</t>
  </si>
  <si>
    <t>A person is planning to take a home loan of 950,000 for a term of 25 years at an annual interest rate of 5.45%. The loan is to be repaid in equal installments, with the payment made at the end of each period. The objective is to calculate the annual and monthly repayment amounts using the PMT function in Excel.</t>
  </si>
  <si>
    <t>A borrower has taken a loan of 1,000,000 for a term of 10 years at an annual interest rate of 7.5%. The objective is to calculate the annual repayment amount, interest component, and principal component for each year using the PMT, IPMT, and PPMT functions in Excel. Additionally, the SEQUENCE function is used to dynamically generate the period numbers for calculation.</t>
  </si>
  <si>
    <t>=SEQUENCE(rows, [columns], [start],[step])</t>
  </si>
  <si>
    <t>CUMIPMT &amp; CUMPRINC</t>
  </si>
  <si>
    <t>Cumulative Interest and Principal</t>
  </si>
  <si>
    <t>Starting period</t>
  </si>
  <si>
    <t>Starting year</t>
  </si>
  <si>
    <t>Ending Period</t>
  </si>
  <si>
    <t>Ending year</t>
  </si>
  <si>
    <t>CUMIPMT</t>
  </si>
  <si>
    <t>Cumulative Interest</t>
  </si>
  <si>
    <t>CUMPRINC</t>
  </si>
  <si>
    <t>Cumulative Principal</t>
  </si>
  <si>
    <t>Total Cumulative Repayment</t>
  </si>
  <si>
    <t>A borrower has taken a loan of 1,000,000 for a term of 10 years at an annual interest rate of 7.5%. The objective is to calculate the cumulative interest and cumulative principal repayment for a specific period (Year 1) using the CUMIPMT and CUMPRINC functions</t>
  </si>
  <si>
    <t>EFFECT &amp; NOMINAL</t>
  </si>
  <si>
    <t>Applying Nominal versus Effective Interest Rates</t>
  </si>
  <si>
    <t>Nominal Rate</t>
  </si>
  <si>
    <t>Effective Rate</t>
  </si>
  <si>
    <t>Effect_rate</t>
  </si>
  <si>
    <t>Effective Rate (APY)</t>
  </si>
  <si>
    <t>Nominal_rate</t>
  </si>
  <si>
    <t>Nominal Rate (APR)</t>
  </si>
  <si>
    <t>Npery</t>
  </si>
  <si>
    <t>Periods per Year</t>
  </si>
  <si>
    <t>NOMINAL</t>
  </si>
  <si>
    <t>Annual Percentage Rate (APR)</t>
  </si>
  <si>
    <t>EFFECT</t>
  </si>
  <si>
    <t>Annual Percentage Yield (APY)</t>
  </si>
  <si>
    <t>CUMIPMT(rate, nper, pv, start_period, end_period, type)</t>
  </si>
  <si>
    <t>CUMPRINC(rate, nper, pv, start_period, end_period, type)</t>
  </si>
  <si>
    <t>A borrower wants to compare two interest rates: the Nominal Interest Rate (APR) and the Effective Interest Rate (APY) based on a stated annual rate of 6% with 12 compounding periods per year. The objective is to calculate the APR (Nominal Rate) and the APY (Effective Rate) using the NOMINAL and EFFECT functions</t>
  </si>
  <si>
    <t>RATE</t>
  </si>
  <si>
    <t>Discover the interest rate of an annuity</t>
  </si>
  <si>
    <t>Term of Investment (Years)</t>
  </si>
  <si>
    <t>convert to months</t>
  </si>
  <si>
    <t>Pmt</t>
  </si>
  <si>
    <t>Payment each period (month)</t>
  </si>
  <si>
    <t>Upfront amt paid</t>
  </si>
  <si>
    <t>must show as neg</t>
  </si>
  <si>
    <t>Future value</t>
  </si>
  <si>
    <t>Guess</t>
  </si>
  <si>
    <t>Guess %</t>
  </si>
  <si>
    <t>An investor plans to make monthly payments of $1,500 for 5 years into an investment. Additionally, an initial investment of $80,000 is made upfront. The objective is to calculate the annual interest rate (RATE) that the investment must earn to reach a future value of $0 using the RATE function</t>
  </si>
  <si>
    <t>RATE(nper, pmt, pv, [fv], [type], [guess])</t>
  </si>
  <si>
    <t>An investor plans to make monthly payments of $1,500 for 5 years into an investment. Additionally, an upfront payment of $80,000 is made initially. The objective is to calculate the monthly interest rate (RATE) the investment must earn, based on the given investment details, using the RATE function</t>
  </si>
  <si>
    <t>NPER</t>
  </si>
  <si>
    <t>Monthly payments</t>
  </si>
  <si>
    <t>Present value</t>
  </si>
  <si>
    <t>Number of periods (years)</t>
  </si>
  <si>
    <t>Number of periods (months)</t>
  </si>
  <si>
    <t>NOMINAL(effect_rate, npery)
EFFECT(nominal_rate, npery)</t>
  </si>
  <si>
    <t>An individual plans to make monthly payments of ₹250 towards a financial goal with a current balance of ₹25,000. The target is to accumulate ₹35,000 at an annual interest rate of 6.25%. The objective is to calculate the number of periods (in years and months) required to reach the future value using the NPER function</t>
  </si>
  <si>
    <t xml:space="preserve">Calculate the number of periods to reach a goal with regular payments
</t>
  </si>
  <si>
    <t>NPER(rate, pmt, pv, [fv], [type])</t>
  </si>
  <si>
    <t>Depreciation Calculations</t>
  </si>
  <si>
    <t>Comparison of Depreciation methods</t>
  </si>
  <si>
    <t>Cost</t>
  </si>
  <si>
    <t>Purchase price</t>
  </si>
  <si>
    <t>Salvage</t>
  </si>
  <si>
    <t>Salvage value</t>
  </si>
  <si>
    <t>Life</t>
  </si>
  <si>
    <t>Useful life</t>
  </si>
  <si>
    <t>years</t>
  </si>
  <si>
    <t>Start year</t>
  </si>
  <si>
    <t>SLN</t>
  </si>
  <si>
    <t>Straight-Line</t>
  </si>
  <si>
    <t>DB</t>
  </si>
  <si>
    <t>Fixed Declining</t>
  </si>
  <si>
    <t>DDB</t>
  </si>
  <si>
    <t>Double Declining</t>
  </si>
  <si>
    <t>SYD</t>
  </si>
  <si>
    <t>Sum-Of-The-Years-Digits</t>
  </si>
  <si>
    <t>VDB</t>
  </si>
  <si>
    <t>Variable Declining Balance</t>
  </si>
  <si>
    <t>A company has purchased equipment for $50,000 in 2026. The equipment has a useful life of 10 years and a salvage value of $5,000. The objective is to calculate the annual depreciation using five different methods and compare the depreciation expenses for each year from 2026 to 2035.</t>
  </si>
  <si>
    <t>=SLN(cost, salvage, life)</t>
  </si>
  <si>
    <t>=DB(cost, salvage, life, period)</t>
  </si>
  <si>
    <t>=DDB(cost, salvage, life, period)</t>
  </si>
  <si>
    <t>=SYD(cost, salvage, life, period)</t>
  </si>
  <si>
    <t>=VDB(cost, salvage, life, start_period, end_period)</t>
  </si>
  <si>
    <t>Straight Line Depreciation</t>
  </si>
  <si>
    <t>Initial Cost</t>
  </si>
  <si>
    <t>Salvage Value</t>
  </si>
  <si>
    <t>Economic Life</t>
  </si>
  <si>
    <t>Depreciation per Year</t>
  </si>
  <si>
    <t>Depreciation per Month</t>
  </si>
  <si>
    <t>Fixed Declining depreciation</t>
  </si>
  <si>
    <t>Period</t>
  </si>
  <si>
    <t>Plug</t>
  </si>
  <si>
    <t>Double Declining depreciation</t>
  </si>
  <si>
    <t>Using Excel for Microsoft 365</t>
  </si>
  <si>
    <t>Using any version of Excel</t>
  </si>
  <si>
    <t>Sum-of-years' Digits depreciation</t>
  </si>
  <si>
    <t>Sum-of-years' Digits</t>
  </si>
  <si>
    <t>Variable Declining Balance depreciation</t>
  </si>
  <si>
    <t>Factor</t>
  </si>
  <si>
    <t>No_switch</t>
  </si>
  <si>
    <t>Double Declining Balance</t>
  </si>
  <si>
    <t>=VDB(cost, salvage, life, start_period, end_period, factor, no_switch)</t>
  </si>
  <si>
    <t>A company has purchased a machine for 120,000 with an expected salvage value of 15,000 and a useful life of 8 years. The objective is to calculate the annual and monthly depreciation using the Straight-Line Depreciation Method.</t>
  </si>
  <si>
    <t>A company has acquired equipment for 12,000 with an estimated salvage value of 1,500 and a useful life of 8 years. The objective is to calculate the annual depreciation using the Fixed Declining Balance Method (DB) and analyze the depreciation amounts for each year over the asset's useful life.</t>
  </si>
  <si>
    <t>A company has purchased equipment for 12,000 with a salvage value of 1,500 and a useful life of 8 years. The objective is to calculate the annual depreciation using the Double Declining Balance (DDB) method and compare it with the Fixed Declining Balance (DB) method over the asset's useful life.</t>
  </si>
  <si>
    <t>A company has purchased equipment for 12,000 with a salvage value of 1,500 and a useful life of 8 years. The objective is to calculate the annual depreciation using three methods — Fixed Declining Balance (DB), Double Declining Balance (DDB), and Sum-of-Years' Digits (SYD) — and compare the results over the asset’s useful life.</t>
  </si>
  <si>
    <t>A company has acquired equipment for 12,000 with a salvage value of 1,500 and a useful life of 8 years. The objective is to calculate the annual depreciation using two methods: Double Declining Balance (DDB) and Variable Declining Balance (VDB), considering a declining factor of 2 and no switch to straight-line depreciation.</t>
  </si>
  <si>
    <t>FV</t>
  </si>
  <si>
    <t>Future Value</t>
  </si>
  <si>
    <t>Calculate a future value of an investment</t>
  </si>
  <si>
    <t>Example 1</t>
  </si>
  <si>
    <t>Number of periods</t>
  </si>
  <si>
    <t>Payment</t>
  </si>
  <si>
    <t>Present Value</t>
  </si>
  <si>
    <t>Example 2</t>
  </si>
  <si>
    <t>Actual</t>
  </si>
  <si>
    <t>Forecast</t>
  </si>
  <si>
    <t>Return</t>
  </si>
  <si>
    <t>You are planning to invest $5,015 today in a financial instrument that offers an annual interest rate of 5%. You want to determine the Future Value (FV) of this investment over 5 periods (years), assuming no additional payments are made during the investment period. Additionally, you want to compare the forecasted returns for each year from 2024 to 2029 to verify that the calculated Future Value aligns with the actual and forecasted returns.</t>
  </si>
  <si>
    <t>FVSCHEDULE</t>
  </si>
  <si>
    <t>Calculate a future value with variable returns</t>
  </si>
  <si>
    <t>Schedule</t>
  </si>
  <si>
    <t>Rates</t>
  </si>
  <si>
    <t>Principal</t>
  </si>
  <si>
    <t>Sales</t>
  </si>
  <si>
    <t>FV=−FV(Rate,Nper,Pmt,Pv,Type)</t>
  </si>
  <si>
    <t>You have invested $5,015 in 2024, and the investment experiences varying annual interest rates over the next 5 years as follows:
2024: 5.0%
2025: 5.5%
2026: 5.1%
2027: 5.3%
2028: 4.8%
You want to determine the Future Value (FV) of this investment at the end of 2029 using the FVSCHEDULE function, which calculates the FV of an investment based on a series of varying interest rates.</t>
  </si>
  <si>
    <t>FVSCHEDULE(principal,schedule)</t>
  </si>
  <si>
    <t>Escalation</t>
  </si>
  <si>
    <t>Calculating compounding interest or growth rates</t>
  </si>
  <si>
    <t>Growth</t>
  </si>
  <si>
    <t>You are analyzing the sales growth of a business over a period of 5 years, starting in 2026, with a consistent annual growth rate of 5%. You want to calculate the compounded sales forecast for each year and compare the values between two different formats:</t>
  </si>
  <si>
    <t>PV</t>
  </si>
  <si>
    <r>
      <t xml:space="preserve">The present value of an investment with a </t>
    </r>
    <r>
      <rPr>
        <b/>
        <sz val="11"/>
        <color rgb="FFFFFFFF"/>
        <rFont val="Aptos Narrow"/>
        <family val="2"/>
        <scheme val="minor"/>
      </rPr>
      <t>constant</t>
    </r>
    <r>
      <rPr>
        <i/>
        <sz val="11"/>
        <color indexed="9"/>
        <rFont val="Aptos Narrow"/>
        <family val="2"/>
        <scheme val="minor"/>
      </rPr>
      <t xml:space="preserve"> series of cashflows</t>
    </r>
  </si>
  <si>
    <t xml:space="preserve"> You are analyzing the Present Value (PV) of an investment that involves a constant series of cash flows over a period of 6 years. The investment has the following characteristics:
Annual Interest Rate: 5%
Number of Periods (Nper): 6 years
Payment (Pmt): $500 per period
Future Value (Fv): $22,500 at the end of the investment period
Type: 0 (indicates payments are made at the end of each period)
The objective is to determine the present value of this investment.</t>
  </si>
  <si>
    <t>NPV</t>
  </si>
  <si>
    <t>Net Present Value</t>
  </si>
  <si>
    <r>
      <t xml:space="preserve">The present value of an investment with a </t>
    </r>
    <r>
      <rPr>
        <b/>
        <sz val="11"/>
        <color rgb="FFFFFFFF"/>
        <rFont val="Aptos Narrow"/>
        <family val="2"/>
        <scheme val="minor"/>
      </rPr>
      <t>regular</t>
    </r>
    <r>
      <rPr>
        <i/>
        <sz val="11"/>
        <color indexed="9"/>
        <rFont val="Aptos Narrow"/>
        <family val="2"/>
        <scheme val="minor"/>
      </rPr>
      <t xml:space="preserve"> series of cashflows</t>
    </r>
  </si>
  <si>
    <t>Current</t>
  </si>
  <si>
    <t>Value1</t>
  </si>
  <si>
    <t>Cashflow values</t>
  </si>
  <si>
    <t>Example 3</t>
  </si>
  <si>
    <t>You're considering purchasing an asset, which will save you money over the next 5 years.</t>
  </si>
  <si>
    <t>Should you buy it?</t>
  </si>
  <si>
    <t>WACC</t>
  </si>
  <si>
    <t>(Weighted average cost of capital)</t>
  </si>
  <si>
    <t>You are evaluating three different financial scenarios related to investments and asset purchases. Each scenario involves calculating Net Present Value (NPV) or Present Value (PV) to assess the value of cash flows at a specific rate of return. Below is a breakdown of each scenario:</t>
  </si>
  <si>
    <t>XNPV</t>
  </si>
  <si>
    <r>
      <t xml:space="preserve">The present value of an investment with an </t>
    </r>
    <r>
      <rPr>
        <b/>
        <sz val="11"/>
        <color rgb="FFFFFFFF"/>
        <rFont val="Aptos Narrow"/>
        <family val="2"/>
        <scheme val="minor"/>
      </rPr>
      <t>irregular</t>
    </r>
    <r>
      <rPr>
        <i/>
        <sz val="11"/>
        <color indexed="9"/>
        <rFont val="Aptos Narrow"/>
        <family val="2"/>
        <scheme val="minor"/>
      </rPr>
      <t xml:space="preserve"> series of cashflows</t>
    </r>
  </si>
  <si>
    <t>Interest rate</t>
  </si>
  <si>
    <t>Dates</t>
  </si>
  <si>
    <t>Values</t>
  </si>
  <si>
    <t>Cashflow</t>
  </si>
  <si>
    <t>IRR</t>
  </si>
  <si>
    <t>Internal Rate of Return</t>
  </si>
  <si>
    <r>
      <t>The internal rate of return with a</t>
    </r>
    <r>
      <rPr>
        <b/>
        <sz val="11"/>
        <color rgb="FFFFFFFF"/>
        <rFont val="Aptos Narrow"/>
        <family val="2"/>
        <scheme val="minor"/>
      </rPr>
      <t xml:space="preserve"> regular</t>
    </r>
    <r>
      <rPr>
        <i/>
        <sz val="11"/>
        <color indexed="9"/>
        <rFont val="Aptos Narrow"/>
        <family val="2"/>
        <scheme val="minor"/>
      </rPr>
      <t xml:space="preserve"> series of cashflows</t>
    </r>
  </si>
  <si>
    <t>XIRR</t>
  </si>
  <si>
    <r>
      <t>The internal rate of return with an</t>
    </r>
    <r>
      <rPr>
        <b/>
        <sz val="11"/>
        <color rgb="FFFFFFFF"/>
        <rFont val="Aptos Narrow"/>
        <family val="2"/>
        <scheme val="minor"/>
      </rPr>
      <t xml:space="preserve"> irregular</t>
    </r>
    <r>
      <rPr>
        <i/>
        <sz val="11"/>
        <color indexed="9"/>
        <rFont val="Aptos Narrow"/>
        <family val="2"/>
        <scheme val="minor"/>
      </rPr>
      <t xml:space="preserve"> series of cashflows</t>
    </r>
  </si>
  <si>
    <t>MIRR</t>
  </si>
  <si>
    <t>Modified Internal Rate of Return</t>
  </si>
  <si>
    <t>The internal rate of return taking into account the reinvestment rate</t>
  </si>
  <si>
    <t>Finance_rate</t>
  </si>
  <si>
    <t>Rate on Initial Loan</t>
  </si>
  <si>
    <t>Reinvest_rate</t>
  </si>
  <si>
    <t>Rate on Reinvested Funds</t>
  </si>
  <si>
    <t>Modified IRR</t>
  </si>
  <si>
    <t>RRI</t>
  </si>
  <si>
    <t>The interest rate for the growth of an investment</t>
  </si>
  <si>
    <t>Periods</t>
  </si>
  <si>
    <t>Implied rate of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</si>
</sst>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8" formatCode="&quot;₹&quot;\ #,##0.00;[Red]&quot;₹&quot;\ \-#,##0.00"/>
    <numFmt numFmtId="44" formatCode="_ &quot;₹&quot;\ * #,##0.00_ ;_ &quot;₹&quot;\ * \-#,##0.00_ ;_ &quot;₹&quot;\ * &quot;-&quot;??_ ;_ @_ "/>
    <numFmt numFmtId="43" formatCode="_ * #,##0.00_ ;_ * \-#,##0.00_ ;_ * &quot;-&quot;??_ ;_ @_ "/>
    <numFmt numFmtId="164" formatCode="_-* #,##0_-;\-* #,##0_-;_-* &quot;-&quot;??_-;_-@_-"/>
    <numFmt numFmtId="165" formatCode="&quot;$&quot;#,##0"/>
    <numFmt numFmtId="166" formatCode="&quot;$&quot;#,##0;\(&quot;$&quot;#,##0\)"/>
    <numFmt numFmtId="167" formatCode="&quot;$&quot;#,##0.00_);[Red]\(&quot;$&quot;#,##0.00\)"/>
    <numFmt numFmtId="168" formatCode="_ [$₹-4009]\ * #,##0.00_ ;_ [$₹-4009]\ * \-#,##0.00_ ;_ [$₹-4009]\ * &quot;-&quot;??_ ;_ @_ "/>
    <numFmt numFmtId="171" formatCode="&quot;₹&quot;\ #,##0.00"/>
    <numFmt numFmtId="172" formatCode="&quot;$&quot;#,##0;[Red]\-&quot;$&quot;#,##0"/>
    <numFmt numFmtId="173" formatCode="0.0%"/>
    <numFmt numFmtId="174" formatCode="_(* #,##0.00_);_(* \(#,##0.00\);_(* &quot;-&quot;??_);_(@_)"/>
    <numFmt numFmtId="175" formatCode="_(* #,##0_);_(* \(#,##0\);_(* &quot;-&quot;??_);_(@_)"/>
    <numFmt numFmtId="180" formatCode="&quot;$&quot;\ #,##0.00_);[Red]\(&quot;$&quot;\ #,##0.00\)"/>
    <numFmt numFmtId="181" formatCode="0.000%"/>
  </numFmts>
  <fonts count="23" x14ac:knownFonts="1">
    <font>
      <sz val="11"/>
      <color theme="1"/>
      <name val="Aptos Narrow"/>
      <family val="2"/>
      <scheme val="minor"/>
    </font>
    <font>
      <sz val="11"/>
      <color theme="1"/>
      <name val="Aptos Narrow"/>
      <family val="2"/>
      <scheme val="minor"/>
    </font>
    <font>
      <sz val="11"/>
      <color rgb="FF3F3F76"/>
      <name val="Aptos Narrow"/>
      <family val="2"/>
      <scheme val="minor"/>
    </font>
    <font>
      <b/>
      <sz val="11"/>
      <color theme="0"/>
      <name val="Aptos Narrow"/>
      <family val="2"/>
      <scheme val="minor"/>
    </font>
    <font>
      <sz val="11"/>
      <color rgb="FFFF0000"/>
      <name val="Aptos Narrow"/>
      <family val="2"/>
      <scheme val="minor"/>
    </font>
    <font>
      <b/>
      <sz val="11"/>
      <color theme="1"/>
      <name val="Aptos Narrow"/>
      <family val="2"/>
      <scheme val="minor"/>
    </font>
    <font>
      <sz val="11"/>
      <color theme="0"/>
      <name val="Aptos Narrow"/>
      <family val="2"/>
      <scheme val="minor"/>
    </font>
    <font>
      <i/>
      <sz val="11"/>
      <color theme="0"/>
      <name val="Aptos Narrow"/>
      <family val="2"/>
      <scheme val="minor"/>
    </font>
    <font>
      <i/>
      <sz val="11"/>
      <color theme="1"/>
      <name val="Aptos Narrow"/>
      <family val="2"/>
      <scheme val="minor"/>
    </font>
    <font>
      <sz val="18"/>
      <color theme="1"/>
      <name val="Aptos Narrow"/>
      <family val="2"/>
      <scheme val="minor"/>
    </font>
    <font>
      <sz val="11"/>
      <color rgb="FF262626"/>
      <name val="Aptos Narrow"/>
      <family val="2"/>
      <scheme val="minor"/>
    </font>
    <font>
      <sz val="10"/>
      <color theme="1"/>
      <name val="Aptos Narrow"/>
      <family val="2"/>
      <scheme val="minor"/>
    </font>
    <font>
      <sz val="8"/>
      <color theme="1"/>
      <name val="Aptos Narrow"/>
      <family val="2"/>
      <scheme val="minor"/>
    </font>
    <font>
      <i/>
      <sz val="11"/>
      <color theme="0" tint="-0.249977111117893"/>
      <name val="Aptos Narrow"/>
      <family val="2"/>
      <scheme val="minor"/>
    </font>
    <font>
      <i/>
      <sz val="9"/>
      <color theme="1"/>
      <name val="Aptos Narrow"/>
      <family val="2"/>
      <scheme val="minor"/>
    </font>
    <font>
      <b/>
      <i/>
      <sz val="11"/>
      <color theme="1"/>
      <name val="Aptos Narrow"/>
      <family val="2"/>
      <scheme val="minor"/>
    </font>
    <font>
      <sz val="8"/>
      <color indexed="8"/>
      <name val="Calibri"/>
      <family val="2"/>
    </font>
    <font>
      <sz val="11"/>
      <name val="Calibri"/>
      <family val="2"/>
    </font>
    <font>
      <sz val="11"/>
      <color indexed="8"/>
      <name val="Calibri"/>
      <family val="2"/>
    </font>
    <font>
      <b/>
      <sz val="11"/>
      <color indexed="8"/>
      <name val="Calibri"/>
      <family val="2"/>
    </font>
    <font>
      <i/>
      <sz val="11"/>
      <color indexed="9"/>
      <name val="Aptos Narrow"/>
      <family val="2"/>
      <scheme val="minor"/>
    </font>
    <font>
      <b/>
      <sz val="11"/>
      <color rgb="FFFFFFFF"/>
      <name val="Aptos Narrow"/>
      <family val="2"/>
      <scheme val="minor"/>
    </font>
    <font>
      <i/>
      <sz val="10"/>
      <color theme="1"/>
      <name val="Aptos Narrow"/>
      <family val="2"/>
      <scheme val="minor"/>
    </font>
  </fonts>
  <fills count="10">
    <fill>
      <patternFill patternType="none"/>
    </fill>
    <fill>
      <patternFill patternType="gray125"/>
    </fill>
    <fill>
      <patternFill patternType="solid">
        <fgColor rgb="FF61195A"/>
        <bgColor theme="7"/>
      </patternFill>
    </fill>
    <fill>
      <patternFill patternType="solid">
        <fgColor theme="5" tint="0.79998168889431442"/>
        <bgColor indexed="64"/>
      </patternFill>
    </fill>
    <fill>
      <patternFill patternType="solid">
        <fgColor rgb="FFFFC000"/>
        <bgColor indexed="64"/>
      </patternFill>
    </fill>
    <fill>
      <patternFill patternType="solid">
        <fgColor rgb="FF90658E"/>
        <bgColor theme="7"/>
      </patternFill>
    </fill>
    <fill>
      <patternFill patternType="solid">
        <fgColor rgb="FFFFC000"/>
        <bgColor theme="7"/>
      </patternFill>
    </fill>
    <fill>
      <patternFill patternType="solid">
        <fgColor theme="8" tint="0.79998168889431442"/>
        <bgColor indexed="64"/>
      </patternFill>
    </fill>
    <fill>
      <patternFill patternType="solid">
        <fgColor rgb="FFC0A4BF"/>
        <bgColor theme="7"/>
      </patternFill>
    </fill>
    <fill>
      <patternFill patternType="solid">
        <fgColor indexed="9"/>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right style="thin">
        <color indexed="9"/>
      </right>
      <top/>
      <bottom/>
      <diagonal/>
    </border>
    <border>
      <left style="dotted">
        <color indexed="64"/>
      </left>
      <right style="dotted">
        <color indexed="64"/>
      </right>
      <top style="dotted">
        <color indexed="64"/>
      </top>
      <bottom style="dotted">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style="thin">
        <color indexed="9"/>
      </right>
      <top style="thin">
        <color theme="0"/>
      </top>
      <bottom/>
      <diagonal/>
    </border>
    <border>
      <left style="thin">
        <color rgb="FF7F7F7F"/>
      </left>
      <right style="thin">
        <color rgb="FF7F7F7F"/>
      </right>
      <top/>
      <bottom style="thin">
        <color rgb="FF7F7F7F"/>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s>
  <cellStyleXfs count="1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3" fillId="2" borderId="2"/>
    <xf numFmtId="0" fontId="2" fillId="3" borderId="1" applyNumberFormat="0" applyFont="0" applyAlignment="0"/>
    <xf numFmtId="164" fontId="1" fillId="0" borderId="3" applyNumberFormat="0" applyFont="0" applyAlignment="0"/>
    <xf numFmtId="0" fontId="3" fillId="5" borderId="2"/>
    <xf numFmtId="174" fontId="1" fillId="0" borderId="0" applyFont="0" applyFill="0" applyBorder="0" applyAlignment="0" applyProtection="0"/>
    <xf numFmtId="0" fontId="3" fillId="8" borderId="8"/>
    <xf numFmtId="0" fontId="3" fillId="2" borderId="2"/>
    <xf numFmtId="164" fontId="1" fillId="0" borderId="3" applyNumberFormat="0" applyFont="0" applyAlignment="0"/>
    <xf numFmtId="0" fontId="1" fillId="0" borderId="0"/>
    <xf numFmtId="0" fontId="3" fillId="5" borderId="10" applyNumberFormat="0" applyFont="0"/>
    <xf numFmtId="0" fontId="3" fillId="2" borderId="2" applyNumberFormat="0" applyFont="0" applyBorder="0" applyAlignment="0"/>
  </cellStyleXfs>
  <cellXfs count="137">
    <xf numFmtId="0" fontId="0" fillId="0" borderId="0" xfId="0"/>
    <xf numFmtId="0" fontId="3" fillId="2" borderId="0" xfId="4" applyBorder="1"/>
    <xf numFmtId="0" fontId="7" fillId="2" borderId="0" xfId="4" applyFont="1" applyBorder="1"/>
    <xf numFmtId="0" fontId="8" fillId="0" borderId="0" xfId="0" applyFont="1"/>
    <xf numFmtId="10" fontId="2" fillId="3" borderId="1" xfId="5" applyNumberFormat="1" applyAlignment="1">
      <alignment horizontal="right"/>
    </xf>
    <xf numFmtId="164" fontId="2" fillId="3" borderId="1" xfId="5" applyNumberFormat="1" applyAlignment="1">
      <alignment horizontal="right"/>
    </xf>
    <xf numFmtId="165" fontId="2" fillId="3" borderId="1" xfId="5" applyNumberFormat="1" applyAlignment="1">
      <alignment horizontal="right"/>
    </xf>
    <xf numFmtId="0" fontId="2" fillId="3" borderId="1" xfId="5" applyNumberFormat="1" applyAlignment="1">
      <alignment horizontal="right"/>
    </xf>
    <xf numFmtId="166" fontId="0" fillId="0" borderId="3" xfId="6" applyNumberFormat="1" applyFont="1" applyAlignment="1">
      <alignment horizontal="right" vertical="center"/>
    </xf>
    <xf numFmtId="0" fontId="9" fillId="0" borderId="0" xfId="0" applyFont="1"/>
    <xf numFmtId="167" fontId="9" fillId="0" borderId="0" xfId="0" applyNumberFormat="1" applyFont="1"/>
    <xf numFmtId="0" fontId="3" fillId="2" borderId="0" xfId="4" applyBorder="1" applyAlignment="1">
      <alignment horizontal="center" wrapText="1"/>
    </xf>
    <xf numFmtId="168" fontId="2" fillId="3" borderId="1" xfId="5" applyNumberFormat="1" applyAlignment="1">
      <alignment horizontal="right"/>
    </xf>
    <xf numFmtId="168" fontId="0" fillId="0" borderId="3" xfId="6" applyNumberFormat="1" applyFont="1" applyAlignment="1">
      <alignment horizontal="right" vertical="center"/>
    </xf>
    <xf numFmtId="0" fontId="0" fillId="4" borderId="0" xfId="0" applyFill="1"/>
    <xf numFmtId="164" fontId="2" fillId="3" borderId="1" xfId="1" applyNumberFormat="1" applyFont="1" applyFill="1" applyBorder="1" applyAlignment="1">
      <alignment horizontal="right"/>
    </xf>
    <xf numFmtId="0" fontId="5" fillId="0" borderId="0" xfId="0" applyFont="1"/>
    <xf numFmtId="0" fontId="0" fillId="0" borderId="0" xfId="0" applyAlignment="1">
      <alignment horizontal="left"/>
    </xf>
    <xf numFmtId="0" fontId="3" fillId="2" borderId="0" xfId="4" applyBorder="1" applyAlignment="1">
      <alignment horizontal="left" vertical="top" wrapText="1"/>
    </xf>
    <xf numFmtId="8" fontId="0" fillId="0" borderId="0" xfId="0" applyNumberFormat="1"/>
    <xf numFmtId="8" fontId="0" fillId="4" borderId="0" xfId="0" quotePrefix="1" applyNumberFormat="1" applyFill="1"/>
    <xf numFmtId="0" fontId="0" fillId="4" borderId="0" xfId="0" quotePrefix="1" applyFill="1"/>
    <xf numFmtId="171" fontId="2" fillId="3" borderId="1" xfId="5" applyNumberFormat="1" applyAlignment="1">
      <alignment horizontal="right"/>
    </xf>
    <xf numFmtId="171" fontId="0" fillId="0" borderId="3" xfId="6" applyNumberFormat="1" applyFont="1" applyAlignment="1">
      <alignment horizontal="right" vertical="center"/>
    </xf>
    <xf numFmtId="168" fontId="5" fillId="0" borderId="3" xfId="6" applyNumberFormat="1" applyFont="1" applyAlignment="1">
      <alignment horizontal="right" vertical="center"/>
    </xf>
    <xf numFmtId="172" fontId="2" fillId="3" borderId="1" xfId="5" applyNumberFormat="1"/>
    <xf numFmtId="173" fontId="2" fillId="3" borderId="1" xfId="5" applyNumberFormat="1"/>
    <xf numFmtId="0" fontId="10" fillId="0" borderId="0" xfId="0" applyFont="1" applyAlignment="1">
      <alignment horizontal="left"/>
    </xf>
    <xf numFmtId="0" fontId="2" fillId="3" borderId="1" xfId="5"/>
    <xf numFmtId="0" fontId="3" fillId="5" borderId="2" xfId="7"/>
    <xf numFmtId="172" fontId="5" fillId="0" borderId="4" xfId="0" applyNumberFormat="1" applyFont="1" applyBorder="1"/>
    <xf numFmtId="175" fontId="4" fillId="0" borderId="0" xfId="8" applyNumberFormat="1" applyFont="1"/>
    <xf numFmtId="0" fontId="7" fillId="2" borderId="0" xfId="4" applyFont="1" applyBorder="1" applyAlignment="1">
      <alignment wrapText="1"/>
    </xf>
    <xf numFmtId="0" fontId="0" fillId="0" borderId="0" xfId="0" applyAlignment="1">
      <alignment horizontal="center" vertical="center"/>
    </xf>
    <xf numFmtId="173" fontId="2" fillId="3" borderId="1" xfId="5" applyNumberFormat="1" applyAlignment="1">
      <alignment horizontal="center" vertical="center"/>
    </xf>
    <xf numFmtId="0" fontId="10" fillId="0" borderId="0" xfId="0" applyFont="1" applyAlignment="1">
      <alignment horizontal="center" vertical="center"/>
    </xf>
    <xf numFmtId="0" fontId="2" fillId="3" borderId="1" xfId="5" applyAlignment="1">
      <alignment horizontal="center" vertical="center"/>
    </xf>
    <xf numFmtId="0" fontId="3" fillId="5" borderId="2" xfId="7" applyAlignment="1">
      <alignment horizontal="center" vertical="center"/>
    </xf>
    <xf numFmtId="175" fontId="4" fillId="0" borderId="0" xfId="8" applyNumberFormat="1" applyFont="1" applyAlignment="1">
      <alignment horizontal="center" vertical="center"/>
    </xf>
    <xf numFmtId="0" fontId="12" fillId="0" borderId="0" xfId="0" applyFont="1" applyAlignment="1">
      <alignment horizontal="center" vertical="center" wrapText="1"/>
    </xf>
    <xf numFmtId="168" fontId="2" fillId="3" borderId="1" xfId="5" applyNumberFormat="1" applyAlignment="1">
      <alignment horizontal="center" vertical="center"/>
    </xf>
    <xf numFmtId="168" fontId="0" fillId="0" borderId="3" xfId="6" applyNumberFormat="1" applyFont="1" applyAlignment="1">
      <alignment horizontal="center" vertical="center"/>
    </xf>
    <xf numFmtId="168" fontId="5" fillId="0" borderId="4" xfId="0" applyNumberFormat="1" applyFont="1" applyBorder="1" applyAlignment="1">
      <alignment horizontal="center" vertical="center"/>
    </xf>
    <xf numFmtId="0" fontId="5" fillId="7" borderId="0" xfId="0" applyFont="1" applyFill="1"/>
    <xf numFmtId="168" fontId="0" fillId="7" borderId="3" xfId="6" applyNumberFormat="1" applyFont="1" applyFill="1" applyAlignment="1">
      <alignment horizontal="center" vertical="center"/>
    </xf>
    <xf numFmtId="0" fontId="13" fillId="0" borderId="0" xfId="0" applyFont="1"/>
    <xf numFmtId="166" fontId="0" fillId="7" borderId="3" xfId="6" applyNumberFormat="1" applyFont="1" applyFill="1" applyAlignment="1">
      <alignment horizontal="right" vertical="center"/>
    </xf>
    <xf numFmtId="0" fontId="2" fillId="3" borderId="1" xfId="1" applyNumberFormat="1" applyFont="1" applyFill="1" applyBorder="1" applyAlignment="1">
      <alignment horizontal="right"/>
    </xf>
    <xf numFmtId="0" fontId="5" fillId="0" borderId="0" xfId="0" applyFont="1" applyAlignment="1">
      <alignment horizontal="right"/>
    </xf>
    <xf numFmtId="0" fontId="3" fillId="5" borderId="0" xfId="7" applyBorder="1"/>
    <xf numFmtId="10" fontId="0" fillId="0" borderId="3" xfId="3" applyNumberFormat="1" applyFont="1" applyBorder="1"/>
    <xf numFmtId="0" fontId="0" fillId="4" borderId="0" xfId="0" quotePrefix="1" applyFill="1" applyAlignment="1">
      <alignment horizontal="center"/>
    </xf>
    <xf numFmtId="0" fontId="14" fillId="0" borderId="0" xfId="0" applyFont="1"/>
    <xf numFmtId="166" fontId="2" fillId="3" borderId="1" xfId="5" applyNumberFormat="1" applyAlignment="1">
      <alignment horizontal="right"/>
    </xf>
    <xf numFmtId="9" fontId="2" fillId="3" borderId="1" xfId="5" applyNumberFormat="1" applyAlignment="1">
      <alignment horizontal="right"/>
    </xf>
    <xf numFmtId="10" fontId="0" fillId="0" borderId="3" xfId="3" applyNumberFormat="1" applyFont="1" applyBorder="1" applyAlignment="1">
      <alignment horizontal="right" vertical="center"/>
    </xf>
    <xf numFmtId="10" fontId="2" fillId="3" borderId="1" xfId="3" applyNumberFormat="1" applyFont="1" applyFill="1" applyBorder="1" applyAlignment="1">
      <alignment horizontal="right"/>
    </xf>
    <xf numFmtId="43" fontId="0" fillId="0" borderId="3" xfId="1" applyFont="1" applyBorder="1" applyAlignment="1">
      <alignment horizontal="right" vertical="center"/>
    </xf>
    <xf numFmtId="0" fontId="0" fillId="4" borderId="0" xfId="0" applyFill="1" applyAlignment="1">
      <alignment wrapText="1"/>
    </xf>
    <xf numFmtId="0" fontId="7" fillId="6" borderId="0" xfId="4" applyFont="1" applyFill="1" applyBorder="1" applyAlignment="1">
      <alignment wrapText="1"/>
    </xf>
    <xf numFmtId="0" fontId="3" fillId="2" borderId="2" xfId="4"/>
    <xf numFmtId="0" fontId="7" fillId="2" borderId="2" xfId="4" applyFont="1"/>
    <xf numFmtId="0" fontId="15" fillId="0" borderId="0" xfId="0" applyFont="1"/>
    <xf numFmtId="3" fontId="2" fillId="3" borderId="1" xfId="5" applyNumberFormat="1" applyFont="1" applyAlignment="1">
      <alignment horizontal="right"/>
    </xf>
    <xf numFmtId="0" fontId="2" fillId="3" borderId="1" xfId="5" applyNumberFormat="1" applyFont="1" applyAlignment="1">
      <alignment horizontal="right"/>
    </xf>
    <xf numFmtId="0" fontId="16" fillId="0" borderId="0" xfId="0" applyFont="1"/>
    <xf numFmtId="0" fontId="16" fillId="0" borderId="0" xfId="0" applyFont="1" applyAlignment="1">
      <alignment horizontal="right"/>
    </xf>
    <xf numFmtId="0" fontId="17" fillId="0" borderId="0" xfId="0" applyFont="1"/>
    <xf numFmtId="165" fontId="19" fillId="0" borderId="0" xfId="0" applyNumberFormat="1" applyFont="1"/>
    <xf numFmtId="0" fontId="20" fillId="2" borderId="0" xfId="4" applyFont="1" applyBorder="1"/>
    <xf numFmtId="0" fontId="3" fillId="5" borderId="5" xfId="7" applyBorder="1"/>
    <xf numFmtId="0" fontId="3" fillId="5" borderId="6" xfId="7" applyBorder="1" applyAlignment="1">
      <alignment wrapText="1"/>
    </xf>
    <xf numFmtId="0" fontId="3" fillId="5" borderId="7" xfId="7" applyBorder="1" applyAlignment="1">
      <alignment horizontal="right"/>
    </xf>
    <xf numFmtId="0" fontId="3" fillId="8" borderId="8" xfId="9"/>
    <xf numFmtId="172" fontId="0" fillId="0" borderId="0" xfId="0" applyNumberFormat="1"/>
    <xf numFmtId="165" fontId="0" fillId="0" borderId="0" xfId="0" applyNumberFormat="1"/>
    <xf numFmtId="168" fontId="2" fillId="3" borderId="1" xfId="1" applyNumberFormat="1" applyFont="1" applyFill="1" applyBorder="1" applyAlignment="1">
      <alignment horizontal="right"/>
    </xf>
    <xf numFmtId="168" fontId="0" fillId="0" borderId="0" xfId="0" applyNumberFormat="1"/>
    <xf numFmtId="0" fontId="3" fillId="5" borderId="2" xfId="7" applyAlignment="1">
      <alignment wrapText="1"/>
    </xf>
    <xf numFmtId="0" fontId="3" fillId="2" borderId="0" xfId="4" applyBorder="1" applyAlignment="1">
      <alignment horizontal="left" wrapText="1"/>
    </xf>
    <xf numFmtId="0" fontId="3" fillId="2" borderId="0" xfId="4" applyBorder="1" applyAlignment="1">
      <alignment horizontal="left" vertical="center" wrapText="1"/>
    </xf>
    <xf numFmtId="0" fontId="7" fillId="2" borderId="0" xfId="4" applyFont="1" applyBorder="1" applyAlignment="1">
      <alignment horizontal="left" wrapText="1"/>
    </xf>
    <xf numFmtId="0" fontId="3" fillId="8" borderId="8" xfId="9" applyAlignment="1">
      <alignment horizontal="center"/>
    </xf>
    <xf numFmtId="44" fontId="2" fillId="3" borderId="1" xfId="2" applyFont="1" applyFill="1" applyBorder="1" applyAlignment="1">
      <alignment horizontal="right"/>
    </xf>
    <xf numFmtId="44" fontId="0" fillId="0" borderId="0" xfId="2" applyFont="1"/>
    <xf numFmtId="44" fontId="18" fillId="0" borderId="3" xfId="2" applyFont="1" applyBorder="1"/>
    <xf numFmtId="44" fontId="0" fillId="0" borderId="3" xfId="2" applyFont="1" applyBorder="1" applyAlignment="1">
      <alignment horizontal="right" vertical="center"/>
    </xf>
    <xf numFmtId="0" fontId="3" fillId="2" borderId="0" xfId="4" applyBorder="1" applyAlignment="1">
      <alignment horizontal="left" vertical="center" wrapText="1"/>
    </xf>
    <xf numFmtId="0" fontId="3" fillId="2" borderId="0" xfId="10" applyBorder="1"/>
    <xf numFmtId="0" fontId="7" fillId="2" borderId="0" xfId="10" applyFont="1" applyBorder="1"/>
    <xf numFmtId="0" fontId="3" fillId="8" borderId="0" xfId="9" applyBorder="1"/>
    <xf numFmtId="173" fontId="2" fillId="3" borderId="9" xfId="5" applyNumberFormat="1" applyBorder="1"/>
    <xf numFmtId="165" fontId="2" fillId="3" borderId="1" xfId="5" applyNumberFormat="1"/>
    <xf numFmtId="165" fontId="0" fillId="0" borderId="3" xfId="11" applyNumberFormat="1" applyFont="1"/>
    <xf numFmtId="0" fontId="19" fillId="0" borderId="0" xfId="12" applyFont="1"/>
    <xf numFmtId="0" fontId="1" fillId="0" borderId="0" xfId="12"/>
    <xf numFmtId="0" fontId="1" fillId="0" borderId="0" xfId="12" applyAlignment="1">
      <alignment horizontal="right"/>
    </xf>
    <xf numFmtId="0" fontId="6" fillId="2" borderId="2" xfId="4" applyFont="1" applyAlignment="1">
      <alignment horizontal="center"/>
    </xf>
    <xf numFmtId="0" fontId="6" fillId="2" borderId="10" xfId="4" applyFont="1" applyBorder="1" applyAlignment="1">
      <alignment horizontal="centerContinuous"/>
    </xf>
    <xf numFmtId="0" fontId="6" fillId="2" borderId="2" xfId="4" applyFont="1"/>
    <xf numFmtId="0" fontId="6" fillId="5" borderId="10" xfId="13" applyFont="1"/>
    <xf numFmtId="180" fontId="1" fillId="9" borderId="0" xfId="12" quotePrefix="1" applyNumberFormat="1" applyFill="1"/>
    <xf numFmtId="0" fontId="18" fillId="0" borderId="0" xfId="12" applyFont="1" applyAlignment="1">
      <alignment horizontal="left"/>
    </xf>
    <xf numFmtId="0" fontId="3" fillId="2" borderId="0" xfId="10" applyBorder="1" applyAlignment="1">
      <alignment horizontal="left" wrapText="1"/>
    </xf>
    <xf numFmtId="0" fontId="6" fillId="2" borderId="11" xfId="4" applyFont="1" applyBorder="1" applyAlignment="1">
      <alignment horizontal="centerContinuous"/>
    </xf>
    <xf numFmtId="0" fontId="6" fillId="2" borderId="12" xfId="4" applyFont="1" applyBorder="1" applyAlignment="1">
      <alignment horizontal="centerContinuous"/>
    </xf>
    <xf numFmtId="0" fontId="6" fillId="2" borderId="13" xfId="4" applyFont="1" applyBorder="1" applyAlignment="1">
      <alignment horizontal="centerContinuous"/>
    </xf>
    <xf numFmtId="0" fontId="8" fillId="0" borderId="0" xfId="12" applyFont="1"/>
    <xf numFmtId="0" fontId="1" fillId="0" borderId="0" xfId="12" applyAlignment="1">
      <alignment horizontal="left"/>
    </xf>
    <xf numFmtId="0" fontId="11" fillId="0" borderId="0" xfId="0" applyFont="1"/>
    <xf numFmtId="0" fontId="6" fillId="2" borderId="2" xfId="14" applyFont="1" applyAlignment="1">
      <alignment horizontal="center"/>
    </xf>
    <xf numFmtId="0" fontId="6" fillId="2" borderId="10" xfId="14" applyFont="1" applyBorder="1" applyAlignment="1">
      <alignment horizontal="centerContinuous"/>
    </xf>
    <xf numFmtId="0" fontId="18" fillId="0" borderId="0" xfId="12" applyFont="1" applyAlignment="1">
      <alignment horizontal="right"/>
    </xf>
    <xf numFmtId="44" fontId="2" fillId="3" borderId="1" xfId="2" applyFont="1" applyFill="1" applyBorder="1"/>
    <xf numFmtId="44" fontId="0" fillId="0" borderId="3" xfId="11" applyNumberFormat="1" applyFont="1"/>
    <xf numFmtId="44" fontId="0" fillId="0" borderId="3" xfId="2" applyFont="1" applyBorder="1"/>
    <xf numFmtId="0" fontId="3" fillId="2" borderId="0" xfId="10" applyBorder="1" applyAlignment="1">
      <alignment horizontal="left" vertical="center" wrapText="1"/>
    </xf>
    <xf numFmtId="0" fontId="20" fillId="2" borderId="0" xfId="10" applyFont="1" applyBorder="1"/>
    <xf numFmtId="0" fontId="3" fillId="2" borderId="0" xfId="10" applyBorder="1" applyAlignment="1">
      <alignment horizontal="left"/>
    </xf>
    <xf numFmtId="0" fontId="6" fillId="2" borderId="2" xfId="14" applyFont="1"/>
    <xf numFmtId="0" fontId="6" fillId="2" borderId="11" xfId="14" applyFont="1" applyBorder="1" applyAlignment="1">
      <alignment horizontal="center"/>
    </xf>
    <xf numFmtId="0" fontId="6" fillId="2" borderId="12" xfId="14" applyFont="1" applyBorder="1" applyAlignment="1">
      <alignment horizontal="center"/>
    </xf>
    <xf numFmtId="0" fontId="6" fillId="2" borderId="13" xfId="14" applyFont="1" applyBorder="1" applyAlignment="1">
      <alignment horizontal="center"/>
    </xf>
    <xf numFmtId="0" fontId="6" fillId="8" borderId="8" xfId="9" applyFont="1"/>
    <xf numFmtId="0" fontId="18" fillId="0" borderId="0" xfId="12" applyFont="1"/>
    <xf numFmtId="0" fontId="7" fillId="5" borderId="0" xfId="7" applyFont="1" applyBorder="1"/>
    <xf numFmtId="0" fontId="22" fillId="0" borderId="0" xfId="12" applyFont="1"/>
    <xf numFmtId="0" fontId="20" fillId="2" borderId="0" xfId="10" applyFont="1" applyBorder="1" applyAlignment="1">
      <alignment horizontal="center" wrapText="1"/>
    </xf>
    <xf numFmtId="0" fontId="6" fillId="2" borderId="11" xfId="14" applyFont="1" applyBorder="1" applyAlignment="1">
      <alignment horizontal="centerContinuous"/>
    </xf>
    <xf numFmtId="0" fontId="6" fillId="2" borderId="12" xfId="14" applyFont="1" applyBorder="1" applyAlignment="1">
      <alignment horizontal="centerContinuous"/>
    </xf>
    <xf numFmtId="0" fontId="6" fillId="2" borderId="13" xfId="14" applyFont="1" applyBorder="1" applyAlignment="1">
      <alignment horizontal="centerContinuous"/>
    </xf>
    <xf numFmtId="15" fontId="6" fillId="8" borderId="8" xfId="9" applyNumberFormat="1" applyFont="1"/>
    <xf numFmtId="10" fontId="0" fillId="0" borderId="3" xfId="11" applyNumberFormat="1" applyFont="1"/>
    <xf numFmtId="15" fontId="6" fillId="5" borderId="10" xfId="13" applyNumberFormat="1" applyFont="1"/>
    <xf numFmtId="0" fontId="2" fillId="3" borderId="1" xfId="5" applyNumberFormat="1"/>
    <xf numFmtId="10" fontId="0" fillId="0" borderId="0" xfId="3" applyNumberFormat="1" applyFont="1"/>
    <xf numFmtId="181" fontId="0" fillId="0" borderId="0" xfId="0" applyNumberFormat="1"/>
  </cellXfs>
  <cellStyles count="15">
    <cellStyle name="Comma" xfId="1" builtinId="3"/>
    <cellStyle name="Comma 2" xfId="8" xr:uid="{B920E0A5-186B-48FC-ABDB-9E57A5B66331}"/>
    <cellStyle name="Currency" xfId="2" builtinId="4"/>
    <cellStyle name="Normal" xfId="0" builtinId="0"/>
    <cellStyle name="Normal 2 2 2 2" xfId="12" xr:uid="{48796921-D6C4-49A2-88A4-EF3515051A3E}"/>
    <cellStyle name="Percent" xfId="3" builtinId="5"/>
    <cellStyle name="Plum 1" xfId="4" xr:uid="{95D68370-80A6-4222-981E-6F90EA113D3F}"/>
    <cellStyle name="Plum 1 2" xfId="10" xr:uid="{6645011E-B4F6-4A6D-8AD7-0F6EBF7342C7}"/>
    <cellStyle name="Plum 1 3" xfId="14" xr:uid="{64706864-0927-4CBF-9E5B-035D83F3CF20}"/>
    <cellStyle name="Plum 2" xfId="7" xr:uid="{09A759FB-2040-4FBC-A2BD-9FACD0AAFF1D}"/>
    <cellStyle name="Plum 2 4" xfId="13" xr:uid="{A7E206D5-47ED-4600-8C19-C3A8807F462B}"/>
    <cellStyle name="Plum 3" xfId="9" xr:uid="{B00F4163-6161-4719-8496-18314A2904BE}"/>
    <cellStyle name="Plum Formula" xfId="6" xr:uid="{665B0B0E-F291-42A7-A2D3-73E87359052E}"/>
    <cellStyle name="Plum Formula 2 3" xfId="11" xr:uid="{2873CB15-BFE4-451A-AE53-0C206E7D3F82}"/>
    <cellStyle name="Plum Input" xfId="5" xr:uid="{85C0C2FD-1C3C-4C19-BABD-C8D1F58A4E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'[1]01_03 Split'!$A$1</c:f>
          <c:strCache>
            <c:ptCount val="1"/>
            <c:pt idx="0">
              <c:v>Splitting Interest and Principal Payments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'[1]01_03 Split'!$B$10</c:f>
              <c:strCache>
                <c:ptCount val="1"/>
                <c:pt idx="0">
                  <c:v>Interest Only</c:v>
                </c:pt>
              </c:strCache>
            </c:strRef>
          </c:tx>
          <c:spPr>
            <a:solidFill>
              <a:srgbClr val="90658E"/>
            </a:solidFill>
            <a:ln>
              <a:noFill/>
            </a:ln>
            <a:effectLst/>
          </c:spPr>
          <c:invertIfNegative val="0"/>
          <c:val>
            <c:numRef>
              <c:f>'[1]01_03 Split'!$C$10:$L$10</c:f>
              <c:numCache>
                <c:formatCode>General</c:formatCode>
                <c:ptCount val="10"/>
                <c:pt idx="0">
                  <c:v>75000</c:v>
                </c:pt>
                <c:pt idx="1">
                  <c:v>69698.555443040823</c:v>
                </c:pt>
                <c:pt idx="2">
                  <c:v>63999.502544309718</c:v>
                </c:pt>
                <c:pt idx="3">
                  <c:v>57873.020678173772</c:v>
                </c:pt>
                <c:pt idx="4">
                  <c:v>51287.052672077625</c:v>
                </c:pt>
                <c:pt idx="5">
                  <c:v>44207.137065524286</c:v>
                </c:pt>
                <c:pt idx="6">
                  <c:v>36596.227788479431</c:v>
                </c:pt>
                <c:pt idx="7">
                  <c:v>28414.500315656212</c:v>
                </c:pt>
                <c:pt idx="8">
                  <c:v>19619.143282371257</c:v>
                </c:pt>
                <c:pt idx="9">
                  <c:v>10164.134471589927</c:v>
                </c:pt>
              </c:numCache>
            </c:numRef>
          </c:val>
          <c:extLst>
            <c:ext xmlns:c16="http://schemas.microsoft.com/office/drawing/2014/chart" uri="{C3380CC4-5D6E-409C-BE32-E72D297353CC}">
              <c16:uniqueId val="{00000000-83E4-49E7-BBFC-32E45805C3B1}"/>
            </c:ext>
          </c:extLst>
        </c:ser>
        <c:ser>
          <c:idx val="1"/>
          <c:order val="1"/>
          <c:tx>
            <c:strRef>
              <c:f>'[1]01_03 Split'!$B$11</c:f>
              <c:strCache>
                <c:ptCount val="1"/>
                <c:pt idx="0">
                  <c:v>Principal Only</c:v>
                </c:pt>
              </c:strCache>
            </c:strRef>
          </c:tx>
          <c:spPr>
            <a:solidFill>
              <a:srgbClr val="61195A"/>
            </a:solidFill>
            <a:ln>
              <a:noFill/>
            </a:ln>
            <a:effectLst/>
          </c:spPr>
          <c:invertIfNegative val="0"/>
          <c:val>
            <c:numRef>
              <c:f>'[1]01_03 Split'!$C$11:$L$11</c:f>
              <c:numCache>
                <c:formatCode>General</c:formatCode>
                <c:ptCount val="10"/>
                <c:pt idx="0">
                  <c:v>70685.927426122318</c:v>
                </c:pt>
                <c:pt idx="1">
                  <c:v>75987.371983081481</c:v>
                </c:pt>
                <c:pt idx="2">
                  <c:v>81686.424881812593</c:v>
                </c:pt>
                <c:pt idx="3">
                  <c:v>87812.906747948538</c:v>
                </c:pt>
                <c:pt idx="4">
                  <c:v>94398.874754044678</c:v>
                </c:pt>
                <c:pt idx="5">
                  <c:v>101478.79036059802</c:v>
                </c:pt>
                <c:pt idx="6">
                  <c:v>109089.69963764287</c:v>
                </c:pt>
                <c:pt idx="7">
                  <c:v>117271.42711046609</c:v>
                </c:pt>
                <c:pt idx="8">
                  <c:v>126066.78414375107</c:v>
                </c:pt>
                <c:pt idx="9">
                  <c:v>135521.79295453237</c:v>
                </c:pt>
              </c:numCache>
            </c:numRef>
          </c:val>
          <c:extLst>
            <c:ext xmlns:c16="http://schemas.microsoft.com/office/drawing/2014/chart" uri="{C3380CC4-5D6E-409C-BE32-E72D297353CC}">
              <c16:uniqueId val="{00000001-83E4-49E7-BBFC-32E45805C3B1}"/>
            </c:ext>
          </c:extLst>
        </c:ser>
        <c:dLbls>
          <c:showLegendKey val="0"/>
          <c:showVal val="0"/>
          <c:showCatName val="0"/>
          <c:showSerName val="0"/>
          <c:showPercent val="0"/>
          <c:showBubbleSize val="0"/>
        </c:dLbls>
        <c:gapWidth val="55"/>
        <c:overlap val="100"/>
        <c:axId val="204762176"/>
        <c:axId val="204760512"/>
      </c:barChart>
      <c:catAx>
        <c:axId val="2047621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60512"/>
        <c:crosses val="autoZero"/>
        <c:auto val="1"/>
        <c:lblAlgn val="ctr"/>
        <c:lblOffset val="100"/>
        <c:noMultiLvlLbl val="0"/>
      </c:catAx>
      <c:valAx>
        <c:axId val="204760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62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'[1]01_04 Split Dynamic '!$A$1</c:f>
          <c:strCache>
            <c:ptCount val="1"/>
            <c:pt idx="0">
              <c:v>Splitting Interest and Principal Payments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'[1]01_04 Split Dynamic '!$B$10</c:f>
              <c:strCache>
                <c:ptCount val="1"/>
                <c:pt idx="0">
                  <c:v>Interest Only</c:v>
                </c:pt>
              </c:strCache>
            </c:strRef>
          </c:tx>
          <c:spPr>
            <a:solidFill>
              <a:srgbClr val="90658E"/>
            </a:solidFill>
            <a:ln>
              <a:noFill/>
            </a:ln>
            <a:effectLst/>
          </c:spPr>
          <c:invertIfNegative val="0"/>
          <c:val>
            <c:numRef>
              <c:f>'[1]01_04 Split Dynamic '!$C$10:$L$10</c:f>
              <c:numCache>
                <c:formatCode>General</c:formatCode>
                <c:ptCount val="10"/>
                <c:pt idx="0">
                  <c:v>75000</c:v>
                </c:pt>
                <c:pt idx="1">
                  <c:v>69698.555443040823</c:v>
                </c:pt>
                <c:pt idx="2">
                  <c:v>63999.502544309718</c:v>
                </c:pt>
                <c:pt idx="3">
                  <c:v>57873.020678173772</c:v>
                </c:pt>
                <c:pt idx="4">
                  <c:v>51287.052672077625</c:v>
                </c:pt>
                <c:pt idx="5">
                  <c:v>44207.137065524286</c:v>
                </c:pt>
                <c:pt idx="6">
                  <c:v>36596.227788479431</c:v>
                </c:pt>
                <c:pt idx="7">
                  <c:v>28414.500315656212</c:v>
                </c:pt>
                <c:pt idx="8">
                  <c:v>19619.143282371257</c:v>
                </c:pt>
                <c:pt idx="9">
                  <c:v>10164.134471589927</c:v>
                </c:pt>
              </c:numCache>
            </c:numRef>
          </c:val>
          <c:extLst>
            <c:ext xmlns:c16="http://schemas.microsoft.com/office/drawing/2014/chart" uri="{C3380CC4-5D6E-409C-BE32-E72D297353CC}">
              <c16:uniqueId val="{00000000-0A6B-4695-B194-EBADDDF37383}"/>
            </c:ext>
          </c:extLst>
        </c:ser>
        <c:ser>
          <c:idx val="1"/>
          <c:order val="1"/>
          <c:tx>
            <c:strRef>
              <c:f>'[1]01_04 Split Dynamic '!$B$11</c:f>
              <c:strCache>
                <c:ptCount val="1"/>
                <c:pt idx="0">
                  <c:v>Principal Only</c:v>
                </c:pt>
              </c:strCache>
            </c:strRef>
          </c:tx>
          <c:spPr>
            <a:solidFill>
              <a:srgbClr val="61195A"/>
            </a:solidFill>
            <a:ln>
              <a:noFill/>
            </a:ln>
            <a:effectLst/>
          </c:spPr>
          <c:invertIfNegative val="0"/>
          <c:val>
            <c:numRef>
              <c:f>'[1]01_04 Split Dynamic '!$C$11:$L$11</c:f>
              <c:numCache>
                <c:formatCode>General</c:formatCode>
                <c:ptCount val="10"/>
                <c:pt idx="0">
                  <c:v>70685.927426122318</c:v>
                </c:pt>
                <c:pt idx="1">
                  <c:v>75987.371983081481</c:v>
                </c:pt>
                <c:pt idx="2">
                  <c:v>81686.424881812593</c:v>
                </c:pt>
                <c:pt idx="3">
                  <c:v>87812.906747948538</c:v>
                </c:pt>
                <c:pt idx="4">
                  <c:v>94398.874754044678</c:v>
                </c:pt>
                <c:pt idx="5">
                  <c:v>101478.79036059802</c:v>
                </c:pt>
                <c:pt idx="6">
                  <c:v>109089.69963764287</c:v>
                </c:pt>
                <c:pt idx="7">
                  <c:v>117271.42711046609</c:v>
                </c:pt>
                <c:pt idx="8">
                  <c:v>126066.78414375107</c:v>
                </c:pt>
                <c:pt idx="9">
                  <c:v>135521.79295453237</c:v>
                </c:pt>
              </c:numCache>
            </c:numRef>
          </c:val>
          <c:extLst>
            <c:ext xmlns:c16="http://schemas.microsoft.com/office/drawing/2014/chart" uri="{C3380CC4-5D6E-409C-BE32-E72D297353CC}">
              <c16:uniqueId val="{00000001-0A6B-4695-B194-EBADDDF37383}"/>
            </c:ext>
          </c:extLst>
        </c:ser>
        <c:dLbls>
          <c:showLegendKey val="0"/>
          <c:showVal val="0"/>
          <c:showCatName val="0"/>
          <c:showSerName val="0"/>
          <c:showPercent val="0"/>
          <c:showBubbleSize val="0"/>
        </c:dLbls>
        <c:gapWidth val="55"/>
        <c:overlap val="100"/>
        <c:axId val="204762176"/>
        <c:axId val="204760512"/>
      </c:barChart>
      <c:catAx>
        <c:axId val="2047621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60512"/>
        <c:crosses val="autoZero"/>
        <c:auto val="1"/>
        <c:lblAlgn val="ctr"/>
        <c:lblOffset val="100"/>
        <c:noMultiLvlLbl val="0"/>
      </c:catAx>
      <c:valAx>
        <c:axId val="204760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62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Depreciation!$O$2</c:f>
          <c:strCache>
            <c:ptCount val="1"/>
            <c:pt idx="0">
              <c:v>Double Declining depreciation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Depreciation!$U$11:$U$18</c:f>
              <c:numCache>
                <c:formatCode>_("₹"* #,##0.00_);_("₹"* \(#,##0.00\);_("₹"* "-"??_);_(@_)</c:formatCode>
                <c:ptCount val="8"/>
                <c:pt idx="0">
                  <c:v>27480</c:v>
                </c:pt>
                <c:pt idx="1">
                  <c:v>21187.08</c:v>
                </c:pt>
                <c:pt idx="2">
                  <c:v>16335.23868</c:v>
                </c:pt>
                <c:pt idx="3">
                  <c:v>12594.46902228</c:v>
                </c:pt>
                <c:pt idx="4">
                  <c:v>9710.3356161778793</c:v>
                </c:pt>
                <c:pt idx="5">
                  <c:v>7486.6687600731457</c:v>
                </c:pt>
                <c:pt idx="6">
                  <c:v>5772.2216140163946</c:v>
                </c:pt>
                <c:pt idx="7">
                  <c:v>4450.3828644066407</c:v>
                </c:pt>
              </c:numCache>
            </c:numRef>
          </c:val>
          <c:extLst>
            <c:ext xmlns:c16="http://schemas.microsoft.com/office/drawing/2014/chart" uri="{C3380CC4-5D6E-409C-BE32-E72D297353CC}">
              <c16:uniqueId val="{00000000-8AB7-40AA-8F91-245B6DD71E59}"/>
            </c:ext>
          </c:extLst>
        </c:ser>
        <c:ser>
          <c:idx val="1"/>
          <c:order val="1"/>
          <c:spPr>
            <a:solidFill>
              <a:schemeClr val="accent2"/>
            </a:solidFill>
            <a:ln>
              <a:noFill/>
            </a:ln>
            <a:effectLst/>
          </c:spPr>
          <c:invertIfNegative val="0"/>
          <c:val>
            <c:numRef>
              <c:f>Depreciation!$V$11:$V$18</c:f>
              <c:numCache>
                <c:formatCode>_("₹"* #,##0.00_);_("₹"* \(#,##0.00\);_("₹"* "-"??_);_(@_)</c:formatCode>
                <c:ptCount val="8"/>
                <c:pt idx="0">
                  <c:v>30000</c:v>
                </c:pt>
                <c:pt idx="1">
                  <c:v>22500</c:v>
                </c:pt>
                <c:pt idx="2">
                  <c:v>16875</c:v>
                </c:pt>
                <c:pt idx="3">
                  <c:v>12656.25</c:v>
                </c:pt>
                <c:pt idx="4">
                  <c:v>9492.1875</c:v>
                </c:pt>
                <c:pt idx="5">
                  <c:v>7119.140625</c:v>
                </c:pt>
                <c:pt idx="6">
                  <c:v>5339.35546875</c:v>
                </c:pt>
                <c:pt idx="7">
                  <c:v>1018.06640625</c:v>
                </c:pt>
              </c:numCache>
            </c:numRef>
          </c:val>
          <c:extLst>
            <c:ext xmlns:c16="http://schemas.microsoft.com/office/drawing/2014/chart" uri="{C3380CC4-5D6E-409C-BE32-E72D297353CC}">
              <c16:uniqueId val="{00000001-8AB7-40AA-8F91-245B6DD71E59}"/>
            </c:ext>
          </c:extLst>
        </c:ser>
        <c:dLbls>
          <c:showLegendKey val="0"/>
          <c:showVal val="0"/>
          <c:showCatName val="0"/>
          <c:showSerName val="0"/>
          <c:showPercent val="0"/>
          <c:showBubbleSize val="0"/>
        </c:dLbls>
        <c:gapWidth val="219"/>
        <c:overlap val="-27"/>
        <c:axId val="734447808"/>
        <c:axId val="734455488"/>
      </c:barChart>
      <c:catAx>
        <c:axId val="73444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455488"/>
        <c:crosses val="autoZero"/>
        <c:auto val="1"/>
        <c:lblAlgn val="ctr"/>
        <c:lblOffset val="100"/>
        <c:noMultiLvlLbl val="0"/>
      </c:catAx>
      <c:valAx>
        <c:axId val="73445548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447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Depreciation!$Y$2</c:f>
          <c:strCache>
            <c:ptCount val="1"/>
            <c:pt idx="0">
              <c:v>Sum-of-years' Digits depreciation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Depreciation!$Z$9</c:f>
              <c:strCache>
                <c:ptCount val="1"/>
                <c:pt idx="0">
                  <c:v>DB</c:v>
                </c:pt>
              </c:strCache>
            </c:strRef>
          </c:tx>
          <c:spPr>
            <a:solidFill>
              <a:schemeClr val="accent1"/>
            </a:solidFill>
            <a:ln>
              <a:noFill/>
            </a:ln>
            <a:effectLst/>
          </c:spPr>
          <c:invertIfNegative val="0"/>
          <c:val>
            <c:numRef>
              <c:f>Depreciation!$Z$10:$Z$17</c:f>
              <c:numCache>
                <c:formatCode>_("₹"* #,##0.00_);_("₹"* \(#,##0.00\);_("₹"* "-"??_);_(@_)</c:formatCode>
                <c:ptCount val="8"/>
                <c:pt idx="0">
                  <c:v>27480</c:v>
                </c:pt>
                <c:pt idx="1">
                  <c:v>21187.08</c:v>
                </c:pt>
                <c:pt idx="2">
                  <c:v>16335.23868</c:v>
                </c:pt>
                <c:pt idx="3">
                  <c:v>12594.46902228</c:v>
                </c:pt>
                <c:pt idx="4">
                  <c:v>9710.3356161778793</c:v>
                </c:pt>
                <c:pt idx="5">
                  <c:v>7486.6687600731457</c:v>
                </c:pt>
                <c:pt idx="6">
                  <c:v>5772.2216140163946</c:v>
                </c:pt>
                <c:pt idx="7">
                  <c:v>4450.3828644066407</c:v>
                </c:pt>
              </c:numCache>
            </c:numRef>
          </c:val>
          <c:extLst>
            <c:ext xmlns:c16="http://schemas.microsoft.com/office/drawing/2014/chart" uri="{C3380CC4-5D6E-409C-BE32-E72D297353CC}">
              <c16:uniqueId val="{00000000-0513-417E-9396-EB7D11B144C6}"/>
            </c:ext>
          </c:extLst>
        </c:ser>
        <c:ser>
          <c:idx val="1"/>
          <c:order val="1"/>
          <c:tx>
            <c:strRef>
              <c:f>Depreciation!$AA$9</c:f>
              <c:strCache>
                <c:ptCount val="1"/>
                <c:pt idx="0">
                  <c:v>DDB</c:v>
                </c:pt>
              </c:strCache>
            </c:strRef>
          </c:tx>
          <c:spPr>
            <a:solidFill>
              <a:schemeClr val="accent2"/>
            </a:solidFill>
            <a:ln>
              <a:noFill/>
            </a:ln>
            <a:effectLst/>
          </c:spPr>
          <c:invertIfNegative val="0"/>
          <c:val>
            <c:numRef>
              <c:f>Depreciation!$AA$10:$AA$17</c:f>
              <c:numCache>
                <c:formatCode>_("₹"* #,##0.00_);_("₹"* \(#,##0.00\);_("₹"* "-"??_);_(@_)</c:formatCode>
                <c:ptCount val="8"/>
                <c:pt idx="0">
                  <c:v>30000</c:v>
                </c:pt>
                <c:pt idx="1">
                  <c:v>22500</c:v>
                </c:pt>
                <c:pt idx="2">
                  <c:v>16875</c:v>
                </c:pt>
                <c:pt idx="3">
                  <c:v>12656.25</c:v>
                </c:pt>
                <c:pt idx="4">
                  <c:v>9492.1875</c:v>
                </c:pt>
                <c:pt idx="5">
                  <c:v>7119.140625</c:v>
                </c:pt>
                <c:pt idx="6">
                  <c:v>5339.35546875</c:v>
                </c:pt>
                <c:pt idx="7">
                  <c:v>1018.06640625</c:v>
                </c:pt>
              </c:numCache>
            </c:numRef>
          </c:val>
          <c:extLst>
            <c:ext xmlns:c16="http://schemas.microsoft.com/office/drawing/2014/chart" uri="{C3380CC4-5D6E-409C-BE32-E72D297353CC}">
              <c16:uniqueId val="{00000001-0513-417E-9396-EB7D11B144C6}"/>
            </c:ext>
          </c:extLst>
        </c:ser>
        <c:ser>
          <c:idx val="2"/>
          <c:order val="2"/>
          <c:tx>
            <c:strRef>
              <c:f>Depreciation!$AB$9</c:f>
              <c:strCache>
                <c:ptCount val="1"/>
                <c:pt idx="0">
                  <c:v>SYD</c:v>
                </c:pt>
              </c:strCache>
            </c:strRef>
          </c:tx>
          <c:spPr>
            <a:solidFill>
              <a:schemeClr val="accent3"/>
            </a:solidFill>
            <a:ln>
              <a:noFill/>
            </a:ln>
            <a:effectLst/>
          </c:spPr>
          <c:invertIfNegative val="0"/>
          <c:val>
            <c:numRef>
              <c:f>Depreciation!$AB$10:$AB$17</c:f>
              <c:numCache>
                <c:formatCode>_("₹"* #,##0.00_);_("₹"* \(#,##0.00\);_("₹"* "-"??_);_(@_)</c:formatCode>
                <c:ptCount val="8"/>
                <c:pt idx="0">
                  <c:v>2333.3333333333335</c:v>
                </c:pt>
                <c:pt idx="1">
                  <c:v>2041.6666666666667</c:v>
                </c:pt>
                <c:pt idx="2">
                  <c:v>1750</c:v>
                </c:pt>
                <c:pt idx="3">
                  <c:v>1458.3333333333333</c:v>
                </c:pt>
                <c:pt idx="4">
                  <c:v>1166.6666666666667</c:v>
                </c:pt>
                <c:pt idx="5">
                  <c:v>875</c:v>
                </c:pt>
                <c:pt idx="6">
                  <c:v>583.33333333333337</c:v>
                </c:pt>
                <c:pt idx="7">
                  <c:v>291.66666666666669</c:v>
                </c:pt>
              </c:numCache>
            </c:numRef>
          </c:val>
          <c:extLst>
            <c:ext xmlns:c16="http://schemas.microsoft.com/office/drawing/2014/chart" uri="{C3380CC4-5D6E-409C-BE32-E72D297353CC}">
              <c16:uniqueId val="{00000002-0513-417E-9396-EB7D11B144C6}"/>
            </c:ext>
          </c:extLst>
        </c:ser>
        <c:dLbls>
          <c:showLegendKey val="0"/>
          <c:showVal val="0"/>
          <c:showCatName val="0"/>
          <c:showSerName val="0"/>
          <c:showPercent val="0"/>
          <c:showBubbleSize val="0"/>
        </c:dLbls>
        <c:gapWidth val="219"/>
        <c:overlap val="-27"/>
        <c:axId val="316383056"/>
        <c:axId val="316372496"/>
      </c:barChart>
      <c:catAx>
        <c:axId val="316383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372496"/>
        <c:crosses val="autoZero"/>
        <c:auto val="1"/>
        <c:lblAlgn val="ctr"/>
        <c:lblOffset val="100"/>
        <c:noMultiLvlLbl val="0"/>
      </c:catAx>
      <c:valAx>
        <c:axId val="31637249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3830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Depreciation Methods and their Excel Functions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'Depreciation-Dynamic-Splitting'!$C$11</c:f>
              <c:strCache>
                <c:ptCount val="1"/>
                <c:pt idx="0">
                  <c:v>Straight-Line</c:v>
                </c:pt>
              </c:strCache>
            </c:strRef>
          </c:tx>
          <c:spPr>
            <a:ln w="28575" cap="rnd">
              <a:solidFill>
                <a:schemeClr val="accent1"/>
              </a:solidFill>
              <a:round/>
            </a:ln>
            <a:effectLst/>
          </c:spPr>
          <c:marker>
            <c:symbol val="none"/>
          </c:marker>
          <c:cat>
            <c:multiLvlStrRef>
              <c:f>'Depreciation-Dynamic-Splitting'!$D$9:$M$10</c:f>
              <c:multiLvlStrCache>
                <c:ptCount val="10"/>
                <c:lvl>
                  <c:pt idx="0">
                    <c:v>1</c:v>
                  </c:pt>
                  <c:pt idx="1">
                    <c:v>2</c:v>
                  </c:pt>
                  <c:pt idx="2">
                    <c:v>3</c:v>
                  </c:pt>
                  <c:pt idx="3">
                    <c:v>4</c:v>
                  </c:pt>
                  <c:pt idx="4">
                    <c:v>5</c:v>
                  </c:pt>
                  <c:pt idx="5">
                    <c:v>6</c:v>
                  </c:pt>
                  <c:pt idx="6">
                    <c:v>7</c:v>
                  </c:pt>
                  <c:pt idx="7">
                    <c:v>8</c:v>
                  </c:pt>
                  <c:pt idx="8">
                    <c:v>9</c:v>
                  </c:pt>
                  <c:pt idx="9">
                    <c:v>10</c:v>
                  </c:pt>
                </c:lvl>
                <c:lvl>
                  <c:pt idx="0">
                    <c:v>2026</c:v>
                  </c:pt>
                  <c:pt idx="1">
                    <c:v>2027</c:v>
                  </c:pt>
                  <c:pt idx="2">
                    <c:v>2028</c:v>
                  </c:pt>
                  <c:pt idx="3">
                    <c:v>2029</c:v>
                  </c:pt>
                  <c:pt idx="4">
                    <c:v>2030</c:v>
                  </c:pt>
                  <c:pt idx="5">
                    <c:v>2031</c:v>
                  </c:pt>
                  <c:pt idx="6">
                    <c:v>2032</c:v>
                  </c:pt>
                  <c:pt idx="7">
                    <c:v>2033</c:v>
                  </c:pt>
                  <c:pt idx="8">
                    <c:v>2034</c:v>
                  </c:pt>
                  <c:pt idx="9">
                    <c:v>2035</c:v>
                  </c:pt>
                </c:lvl>
              </c:multiLvlStrCache>
            </c:multiLvlStrRef>
          </c:cat>
          <c:val>
            <c:numRef>
              <c:f>'Depreciation-Dynamic-Splitting'!$D$11:$M$11</c:f>
              <c:numCache>
                <c:formatCode>_("₹"* #,##0.00_);_("₹"* \(#,##0.00\);_("₹"* "-"??_);_(@_)</c:formatCode>
                <c:ptCount val="10"/>
                <c:pt idx="0">
                  <c:v>4500</c:v>
                </c:pt>
                <c:pt idx="1">
                  <c:v>4500</c:v>
                </c:pt>
                <c:pt idx="2">
                  <c:v>4500</c:v>
                </c:pt>
                <c:pt idx="3">
                  <c:v>4500</c:v>
                </c:pt>
                <c:pt idx="4">
                  <c:v>4500</c:v>
                </c:pt>
                <c:pt idx="5">
                  <c:v>4500</c:v>
                </c:pt>
                <c:pt idx="6">
                  <c:v>4500</c:v>
                </c:pt>
                <c:pt idx="7">
                  <c:v>4500</c:v>
                </c:pt>
                <c:pt idx="8">
                  <c:v>4500</c:v>
                </c:pt>
                <c:pt idx="9">
                  <c:v>4500</c:v>
                </c:pt>
              </c:numCache>
            </c:numRef>
          </c:val>
          <c:smooth val="0"/>
          <c:extLst>
            <c:ext xmlns:c16="http://schemas.microsoft.com/office/drawing/2014/chart" uri="{C3380CC4-5D6E-409C-BE32-E72D297353CC}">
              <c16:uniqueId val="{00000000-FB05-4252-8DA5-48E8DD533F08}"/>
            </c:ext>
          </c:extLst>
        </c:ser>
        <c:ser>
          <c:idx val="1"/>
          <c:order val="1"/>
          <c:tx>
            <c:strRef>
              <c:f>'Depreciation-Dynamic-Splitting'!$C$12</c:f>
              <c:strCache>
                <c:ptCount val="1"/>
                <c:pt idx="0">
                  <c:v>Fixed Declining</c:v>
                </c:pt>
              </c:strCache>
            </c:strRef>
          </c:tx>
          <c:spPr>
            <a:ln w="28575" cap="rnd">
              <a:solidFill>
                <a:schemeClr val="accent2"/>
              </a:solidFill>
              <a:round/>
            </a:ln>
            <a:effectLst/>
          </c:spPr>
          <c:marker>
            <c:symbol val="none"/>
          </c:marker>
          <c:cat>
            <c:multiLvlStrRef>
              <c:f>'Depreciation-Dynamic-Splitting'!$D$9:$M$10</c:f>
              <c:multiLvlStrCache>
                <c:ptCount val="10"/>
                <c:lvl>
                  <c:pt idx="0">
                    <c:v>1</c:v>
                  </c:pt>
                  <c:pt idx="1">
                    <c:v>2</c:v>
                  </c:pt>
                  <c:pt idx="2">
                    <c:v>3</c:v>
                  </c:pt>
                  <c:pt idx="3">
                    <c:v>4</c:v>
                  </c:pt>
                  <c:pt idx="4">
                    <c:v>5</c:v>
                  </c:pt>
                  <c:pt idx="5">
                    <c:v>6</c:v>
                  </c:pt>
                  <c:pt idx="6">
                    <c:v>7</c:v>
                  </c:pt>
                  <c:pt idx="7">
                    <c:v>8</c:v>
                  </c:pt>
                  <c:pt idx="8">
                    <c:v>9</c:v>
                  </c:pt>
                  <c:pt idx="9">
                    <c:v>10</c:v>
                  </c:pt>
                </c:lvl>
                <c:lvl>
                  <c:pt idx="0">
                    <c:v>2026</c:v>
                  </c:pt>
                  <c:pt idx="1">
                    <c:v>2027</c:v>
                  </c:pt>
                  <c:pt idx="2">
                    <c:v>2028</c:v>
                  </c:pt>
                  <c:pt idx="3">
                    <c:v>2029</c:v>
                  </c:pt>
                  <c:pt idx="4">
                    <c:v>2030</c:v>
                  </c:pt>
                  <c:pt idx="5">
                    <c:v>2031</c:v>
                  </c:pt>
                  <c:pt idx="6">
                    <c:v>2032</c:v>
                  </c:pt>
                  <c:pt idx="7">
                    <c:v>2033</c:v>
                  </c:pt>
                  <c:pt idx="8">
                    <c:v>2034</c:v>
                  </c:pt>
                  <c:pt idx="9">
                    <c:v>2035</c:v>
                  </c:pt>
                </c:lvl>
              </c:multiLvlStrCache>
            </c:multiLvlStrRef>
          </c:cat>
          <c:val>
            <c:numRef>
              <c:f>'Depreciation-Dynamic-Splitting'!$D$12:$M$12</c:f>
              <c:numCache>
                <c:formatCode>_("₹"* #,##0.00_);_("₹"* \(#,##0.00\);_("₹"* "-"??_);_(@_)</c:formatCode>
                <c:ptCount val="10"/>
                <c:pt idx="0">
                  <c:v>10300</c:v>
                </c:pt>
                <c:pt idx="1">
                  <c:v>8178.2</c:v>
                </c:pt>
                <c:pt idx="2">
                  <c:v>6493.4907999999996</c:v>
                </c:pt>
                <c:pt idx="3">
                  <c:v>5155.8316951999996</c:v>
                </c:pt>
                <c:pt idx="4">
                  <c:v>4093.7303659887998</c:v>
                </c:pt>
                <c:pt idx="5">
                  <c:v>3250.421910595107</c:v>
                </c:pt>
                <c:pt idx="6">
                  <c:v>2580.834997012515</c:v>
                </c:pt>
                <c:pt idx="7">
                  <c:v>2049.1829876279371</c:v>
                </c:pt>
                <c:pt idx="8">
                  <c:v>1627.0512921765821</c:v>
                </c:pt>
                <c:pt idx="9">
                  <c:v>1291.8787259882063</c:v>
                </c:pt>
              </c:numCache>
            </c:numRef>
          </c:val>
          <c:smooth val="0"/>
          <c:extLst>
            <c:ext xmlns:c16="http://schemas.microsoft.com/office/drawing/2014/chart" uri="{C3380CC4-5D6E-409C-BE32-E72D297353CC}">
              <c16:uniqueId val="{00000001-FB05-4252-8DA5-48E8DD533F08}"/>
            </c:ext>
          </c:extLst>
        </c:ser>
        <c:ser>
          <c:idx val="2"/>
          <c:order val="2"/>
          <c:tx>
            <c:strRef>
              <c:f>'Depreciation-Dynamic-Splitting'!$C$13</c:f>
              <c:strCache>
                <c:ptCount val="1"/>
                <c:pt idx="0">
                  <c:v>Double Declining</c:v>
                </c:pt>
              </c:strCache>
            </c:strRef>
          </c:tx>
          <c:spPr>
            <a:ln w="28575" cap="rnd">
              <a:solidFill>
                <a:schemeClr val="accent3"/>
              </a:solidFill>
              <a:round/>
            </a:ln>
            <a:effectLst/>
          </c:spPr>
          <c:marker>
            <c:symbol val="none"/>
          </c:marker>
          <c:cat>
            <c:multiLvlStrRef>
              <c:f>'Depreciation-Dynamic-Splitting'!$D$9:$M$10</c:f>
              <c:multiLvlStrCache>
                <c:ptCount val="10"/>
                <c:lvl>
                  <c:pt idx="0">
                    <c:v>1</c:v>
                  </c:pt>
                  <c:pt idx="1">
                    <c:v>2</c:v>
                  </c:pt>
                  <c:pt idx="2">
                    <c:v>3</c:v>
                  </c:pt>
                  <c:pt idx="3">
                    <c:v>4</c:v>
                  </c:pt>
                  <c:pt idx="4">
                    <c:v>5</c:v>
                  </c:pt>
                  <c:pt idx="5">
                    <c:v>6</c:v>
                  </c:pt>
                  <c:pt idx="6">
                    <c:v>7</c:v>
                  </c:pt>
                  <c:pt idx="7">
                    <c:v>8</c:v>
                  </c:pt>
                  <c:pt idx="8">
                    <c:v>9</c:v>
                  </c:pt>
                  <c:pt idx="9">
                    <c:v>10</c:v>
                  </c:pt>
                </c:lvl>
                <c:lvl>
                  <c:pt idx="0">
                    <c:v>2026</c:v>
                  </c:pt>
                  <c:pt idx="1">
                    <c:v>2027</c:v>
                  </c:pt>
                  <c:pt idx="2">
                    <c:v>2028</c:v>
                  </c:pt>
                  <c:pt idx="3">
                    <c:v>2029</c:v>
                  </c:pt>
                  <c:pt idx="4">
                    <c:v>2030</c:v>
                  </c:pt>
                  <c:pt idx="5">
                    <c:v>2031</c:v>
                  </c:pt>
                  <c:pt idx="6">
                    <c:v>2032</c:v>
                  </c:pt>
                  <c:pt idx="7">
                    <c:v>2033</c:v>
                  </c:pt>
                  <c:pt idx="8">
                    <c:v>2034</c:v>
                  </c:pt>
                  <c:pt idx="9">
                    <c:v>2035</c:v>
                  </c:pt>
                </c:lvl>
              </c:multiLvlStrCache>
            </c:multiLvlStrRef>
          </c:cat>
          <c:val>
            <c:numRef>
              <c:f>'Depreciation-Dynamic-Splitting'!$D$13:$M$13</c:f>
              <c:numCache>
                <c:formatCode>_("₹"* #,##0.00_);_("₹"* \(#,##0.00\);_("₹"* "-"??_);_(@_)</c:formatCode>
                <c:ptCount val="10"/>
                <c:pt idx="0">
                  <c:v>10000</c:v>
                </c:pt>
                <c:pt idx="1">
                  <c:v>8000</c:v>
                </c:pt>
                <c:pt idx="2">
                  <c:v>6400.0000000000018</c:v>
                </c:pt>
                <c:pt idx="3">
                  <c:v>5120.0000000000018</c:v>
                </c:pt>
                <c:pt idx="4">
                  <c:v>4096.0000000000027</c:v>
                </c:pt>
                <c:pt idx="5">
                  <c:v>3276.8000000000025</c:v>
                </c:pt>
                <c:pt idx="6">
                  <c:v>2621.4400000000019</c:v>
                </c:pt>
                <c:pt idx="7">
                  <c:v>2097.1520000000014</c:v>
                </c:pt>
                <c:pt idx="8">
                  <c:v>1677.7216000000017</c:v>
                </c:pt>
                <c:pt idx="9">
                  <c:v>1342.1772800000012</c:v>
                </c:pt>
              </c:numCache>
            </c:numRef>
          </c:val>
          <c:smooth val="0"/>
          <c:extLst>
            <c:ext xmlns:c16="http://schemas.microsoft.com/office/drawing/2014/chart" uri="{C3380CC4-5D6E-409C-BE32-E72D297353CC}">
              <c16:uniqueId val="{00000002-FB05-4252-8DA5-48E8DD533F08}"/>
            </c:ext>
          </c:extLst>
        </c:ser>
        <c:ser>
          <c:idx val="3"/>
          <c:order val="3"/>
          <c:tx>
            <c:strRef>
              <c:f>'Depreciation-Dynamic-Splitting'!$C$14</c:f>
              <c:strCache>
                <c:ptCount val="1"/>
                <c:pt idx="0">
                  <c:v>Sum-Of-The-Years-Digits</c:v>
                </c:pt>
              </c:strCache>
            </c:strRef>
          </c:tx>
          <c:spPr>
            <a:ln w="28575" cap="rnd">
              <a:solidFill>
                <a:schemeClr val="accent4"/>
              </a:solidFill>
              <a:round/>
            </a:ln>
            <a:effectLst/>
          </c:spPr>
          <c:marker>
            <c:symbol val="none"/>
          </c:marker>
          <c:cat>
            <c:multiLvlStrRef>
              <c:f>'Depreciation-Dynamic-Splitting'!$D$9:$M$10</c:f>
              <c:multiLvlStrCache>
                <c:ptCount val="10"/>
                <c:lvl>
                  <c:pt idx="0">
                    <c:v>1</c:v>
                  </c:pt>
                  <c:pt idx="1">
                    <c:v>2</c:v>
                  </c:pt>
                  <c:pt idx="2">
                    <c:v>3</c:v>
                  </c:pt>
                  <c:pt idx="3">
                    <c:v>4</c:v>
                  </c:pt>
                  <c:pt idx="4">
                    <c:v>5</c:v>
                  </c:pt>
                  <c:pt idx="5">
                    <c:v>6</c:v>
                  </c:pt>
                  <c:pt idx="6">
                    <c:v>7</c:v>
                  </c:pt>
                  <c:pt idx="7">
                    <c:v>8</c:v>
                  </c:pt>
                  <c:pt idx="8">
                    <c:v>9</c:v>
                  </c:pt>
                  <c:pt idx="9">
                    <c:v>10</c:v>
                  </c:pt>
                </c:lvl>
                <c:lvl>
                  <c:pt idx="0">
                    <c:v>2026</c:v>
                  </c:pt>
                  <c:pt idx="1">
                    <c:v>2027</c:v>
                  </c:pt>
                  <c:pt idx="2">
                    <c:v>2028</c:v>
                  </c:pt>
                  <c:pt idx="3">
                    <c:v>2029</c:v>
                  </c:pt>
                  <c:pt idx="4">
                    <c:v>2030</c:v>
                  </c:pt>
                  <c:pt idx="5">
                    <c:v>2031</c:v>
                  </c:pt>
                  <c:pt idx="6">
                    <c:v>2032</c:v>
                  </c:pt>
                  <c:pt idx="7">
                    <c:v>2033</c:v>
                  </c:pt>
                  <c:pt idx="8">
                    <c:v>2034</c:v>
                  </c:pt>
                  <c:pt idx="9">
                    <c:v>2035</c:v>
                  </c:pt>
                </c:lvl>
              </c:multiLvlStrCache>
            </c:multiLvlStrRef>
          </c:cat>
          <c:val>
            <c:numRef>
              <c:f>'Depreciation-Dynamic-Splitting'!$D$14:$M$14</c:f>
              <c:numCache>
                <c:formatCode>_("₹"* #,##0.00_);_("₹"* \(#,##0.00\);_("₹"* "-"??_);_(@_)</c:formatCode>
                <c:ptCount val="10"/>
                <c:pt idx="0">
                  <c:v>8181.818181818182</c:v>
                </c:pt>
                <c:pt idx="1">
                  <c:v>7363.636363636364</c:v>
                </c:pt>
                <c:pt idx="2">
                  <c:v>6545.454545454545</c:v>
                </c:pt>
                <c:pt idx="3">
                  <c:v>5727.272727272727</c:v>
                </c:pt>
                <c:pt idx="4">
                  <c:v>4909.090909090909</c:v>
                </c:pt>
                <c:pt idx="5">
                  <c:v>4090.909090909091</c:v>
                </c:pt>
                <c:pt idx="6">
                  <c:v>3272.7272727272725</c:v>
                </c:pt>
                <c:pt idx="7">
                  <c:v>2454.5454545454545</c:v>
                </c:pt>
                <c:pt idx="8">
                  <c:v>1636.3636363636363</c:v>
                </c:pt>
                <c:pt idx="9">
                  <c:v>818.18181818181813</c:v>
                </c:pt>
              </c:numCache>
            </c:numRef>
          </c:val>
          <c:smooth val="0"/>
          <c:extLst>
            <c:ext xmlns:c16="http://schemas.microsoft.com/office/drawing/2014/chart" uri="{C3380CC4-5D6E-409C-BE32-E72D297353CC}">
              <c16:uniqueId val="{00000003-FB05-4252-8DA5-48E8DD533F08}"/>
            </c:ext>
          </c:extLst>
        </c:ser>
        <c:ser>
          <c:idx val="4"/>
          <c:order val="4"/>
          <c:tx>
            <c:strRef>
              <c:f>'Depreciation-Dynamic-Splitting'!$C$15</c:f>
              <c:strCache>
                <c:ptCount val="1"/>
                <c:pt idx="0">
                  <c:v>Variable Declining Balance</c:v>
                </c:pt>
              </c:strCache>
            </c:strRef>
          </c:tx>
          <c:spPr>
            <a:ln w="28575" cap="rnd">
              <a:solidFill>
                <a:schemeClr val="accent5"/>
              </a:solidFill>
              <a:round/>
            </a:ln>
            <a:effectLst/>
          </c:spPr>
          <c:marker>
            <c:symbol val="none"/>
          </c:marker>
          <c:cat>
            <c:multiLvlStrRef>
              <c:f>'Depreciation-Dynamic-Splitting'!$D$9:$M$10</c:f>
              <c:multiLvlStrCache>
                <c:ptCount val="10"/>
                <c:lvl>
                  <c:pt idx="0">
                    <c:v>1</c:v>
                  </c:pt>
                  <c:pt idx="1">
                    <c:v>2</c:v>
                  </c:pt>
                  <c:pt idx="2">
                    <c:v>3</c:v>
                  </c:pt>
                  <c:pt idx="3">
                    <c:v>4</c:v>
                  </c:pt>
                  <c:pt idx="4">
                    <c:v>5</c:v>
                  </c:pt>
                  <c:pt idx="5">
                    <c:v>6</c:v>
                  </c:pt>
                  <c:pt idx="6">
                    <c:v>7</c:v>
                  </c:pt>
                  <c:pt idx="7">
                    <c:v>8</c:v>
                  </c:pt>
                  <c:pt idx="8">
                    <c:v>9</c:v>
                  </c:pt>
                  <c:pt idx="9">
                    <c:v>10</c:v>
                  </c:pt>
                </c:lvl>
                <c:lvl>
                  <c:pt idx="0">
                    <c:v>2026</c:v>
                  </c:pt>
                  <c:pt idx="1">
                    <c:v>2027</c:v>
                  </c:pt>
                  <c:pt idx="2">
                    <c:v>2028</c:v>
                  </c:pt>
                  <c:pt idx="3">
                    <c:v>2029</c:v>
                  </c:pt>
                  <c:pt idx="4">
                    <c:v>2030</c:v>
                  </c:pt>
                  <c:pt idx="5">
                    <c:v>2031</c:v>
                  </c:pt>
                  <c:pt idx="6">
                    <c:v>2032</c:v>
                  </c:pt>
                  <c:pt idx="7">
                    <c:v>2033</c:v>
                  </c:pt>
                  <c:pt idx="8">
                    <c:v>2034</c:v>
                  </c:pt>
                  <c:pt idx="9">
                    <c:v>2035</c:v>
                  </c:pt>
                </c:lvl>
              </c:multiLvlStrCache>
            </c:multiLvlStrRef>
          </c:cat>
          <c:val>
            <c:numRef>
              <c:f>'Depreciation-Dynamic-Splitting'!$D$15:$M$15</c:f>
              <c:numCache>
                <c:formatCode>_("₹"* #,##0.00_);_("₹"* \(#,##0.00\);_("₹"* "-"??_);_(@_)</c:formatCode>
                <c:ptCount val="10"/>
                <c:pt idx="0">
                  <c:v>10000</c:v>
                </c:pt>
                <c:pt idx="1">
                  <c:v>8000</c:v>
                </c:pt>
                <c:pt idx="2">
                  <c:v>6400</c:v>
                </c:pt>
                <c:pt idx="3">
                  <c:v>5120</c:v>
                </c:pt>
                <c:pt idx="4">
                  <c:v>4096</c:v>
                </c:pt>
                <c:pt idx="5">
                  <c:v>3276.8</c:v>
                </c:pt>
                <c:pt idx="6">
                  <c:v>2621.4400000000005</c:v>
                </c:pt>
                <c:pt idx="7">
                  <c:v>2097.152</c:v>
                </c:pt>
                <c:pt idx="8">
                  <c:v>1694.3040000000001</c:v>
                </c:pt>
                <c:pt idx="9">
                  <c:v>1694.3040000000001</c:v>
                </c:pt>
              </c:numCache>
            </c:numRef>
          </c:val>
          <c:smooth val="0"/>
          <c:extLst>
            <c:ext xmlns:c16="http://schemas.microsoft.com/office/drawing/2014/chart" uri="{C3380CC4-5D6E-409C-BE32-E72D297353CC}">
              <c16:uniqueId val="{00000004-FB05-4252-8DA5-48E8DD533F08}"/>
            </c:ext>
          </c:extLst>
        </c:ser>
        <c:dLbls>
          <c:showLegendKey val="0"/>
          <c:showVal val="0"/>
          <c:showCatName val="0"/>
          <c:showSerName val="0"/>
          <c:showPercent val="0"/>
          <c:showBubbleSize val="0"/>
        </c:dLbls>
        <c:smooth val="0"/>
        <c:axId val="1911638624"/>
        <c:axId val="735214560"/>
      </c:lineChart>
      <c:catAx>
        <c:axId val="191163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214560"/>
        <c:crosses val="autoZero"/>
        <c:auto val="1"/>
        <c:lblAlgn val="ctr"/>
        <c:lblOffset val="100"/>
        <c:noMultiLvlLbl val="0"/>
      </c:catAx>
      <c:valAx>
        <c:axId val="73521456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1638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396875</xdr:colOff>
      <xdr:row>21</xdr:row>
      <xdr:rowOff>111760</xdr:rowOff>
    </xdr:from>
    <xdr:to>
      <xdr:col>8</xdr:col>
      <xdr:colOff>274320</xdr:colOff>
      <xdr:row>35</xdr:row>
      <xdr:rowOff>150495</xdr:rowOff>
    </xdr:to>
    <xdr:graphicFrame macro="">
      <xdr:nvGraphicFramePr>
        <xdr:cNvPr id="2" name="Chart 1">
          <a:extLst>
            <a:ext uri="{FF2B5EF4-FFF2-40B4-BE49-F238E27FC236}">
              <a16:creationId xmlns:a16="http://schemas.microsoft.com/office/drawing/2014/main" id="{F2A2DC73-F1E7-4498-8650-BA1C26C04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152400</xdr:colOff>
      <xdr:row>16</xdr:row>
      <xdr:rowOff>187960</xdr:rowOff>
    </xdr:from>
    <xdr:to>
      <xdr:col>8</xdr:col>
      <xdr:colOff>639445</xdr:colOff>
      <xdr:row>31</xdr:row>
      <xdr:rowOff>36195</xdr:rowOff>
    </xdr:to>
    <xdr:graphicFrame macro="">
      <xdr:nvGraphicFramePr>
        <xdr:cNvPr id="2" name="Chart 1">
          <a:extLst>
            <a:ext uri="{FF2B5EF4-FFF2-40B4-BE49-F238E27FC236}">
              <a16:creationId xmlns:a16="http://schemas.microsoft.com/office/drawing/2014/main" id="{C3BE6025-B938-4B39-949D-CFD39FE0D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704850</xdr:colOff>
      <xdr:row>19</xdr:row>
      <xdr:rowOff>33337</xdr:rowOff>
    </xdr:from>
    <xdr:to>
      <xdr:col>19</xdr:col>
      <xdr:colOff>1323975</xdr:colOff>
      <xdr:row>33</xdr:row>
      <xdr:rowOff>109537</xdr:rowOff>
    </xdr:to>
    <xdr:graphicFrame macro="">
      <xdr:nvGraphicFramePr>
        <xdr:cNvPr id="2" name="Chart 1">
          <a:extLst>
            <a:ext uri="{FF2B5EF4-FFF2-40B4-BE49-F238E27FC236}">
              <a16:creationId xmlns:a16="http://schemas.microsoft.com/office/drawing/2014/main" id="{EAB4DAC7-5764-E0EA-3CE9-75C76282A6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409575</xdr:colOff>
      <xdr:row>18</xdr:row>
      <xdr:rowOff>147637</xdr:rowOff>
    </xdr:from>
    <xdr:to>
      <xdr:col>30</xdr:col>
      <xdr:colOff>295275</xdr:colOff>
      <xdr:row>33</xdr:row>
      <xdr:rowOff>33337</xdr:rowOff>
    </xdr:to>
    <xdr:graphicFrame macro="">
      <xdr:nvGraphicFramePr>
        <xdr:cNvPr id="3" name="Chart 2">
          <a:extLst>
            <a:ext uri="{FF2B5EF4-FFF2-40B4-BE49-F238E27FC236}">
              <a16:creationId xmlns:a16="http://schemas.microsoft.com/office/drawing/2014/main" id="{F2102CCB-BF0D-1DCB-9802-E821200D28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542925</xdr:colOff>
      <xdr:row>21</xdr:row>
      <xdr:rowOff>166687</xdr:rowOff>
    </xdr:from>
    <xdr:to>
      <xdr:col>11</xdr:col>
      <xdr:colOff>85725</xdr:colOff>
      <xdr:row>38</xdr:row>
      <xdr:rowOff>85725</xdr:rowOff>
    </xdr:to>
    <xdr:graphicFrame macro="">
      <xdr:nvGraphicFramePr>
        <xdr:cNvPr id="3" name="Chart 2">
          <a:extLst>
            <a:ext uri="{FF2B5EF4-FFF2-40B4-BE49-F238E27FC236}">
              <a16:creationId xmlns:a16="http://schemas.microsoft.com/office/drawing/2014/main" id="{F1C997EE-4F60-BCD7-6BEE-E8E8A17D57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anu.chopra\Downloads\Ex_Files_Excel_Financial_Functions\Ex_Files_Excel_Financial_Functions\Exercise%20Files\Chapter%2001_End.xlsx" TargetMode="External"/><Relationship Id="rId1" Type="http://schemas.openxmlformats.org/officeDocument/2006/relationships/externalLinkPath" Target="file:///C:\Users\manu.chopra\Downloads\Ex_Files_Excel_Financial_Functions\Ex_Files_Excel_Financial_Functions\Exercise%20Files\Chapter%2001_End.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manu.chopra\Downloads\Ex_Files_Excel_Financial_Functions\Ex_Files_Excel_Financial_Functions\Exercise%20Files\Chapter%2002_End.xlsx" TargetMode="External"/><Relationship Id="rId1" Type="http://schemas.openxmlformats.org/officeDocument/2006/relationships/externalLinkPath" Target="file:///C:\Users\manu.chopra\Downloads\Ex_Files_Excel_Financial_Functions\Ex_Files_Excel_Financial_Functions\Exercise%20Files\Chapter%2002_En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01_01 PMT"/>
      <sheetName val="01_02 PPMT &amp; IPMT"/>
      <sheetName val="01_03 Split"/>
      <sheetName val="01_04 Split Dynamic "/>
      <sheetName val="01_05 CUMIPMT &amp; CUMPRINC"/>
      <sheetName val="01_06 EFFECT &amp; NOMINAL"/>
      <sheetName val="01_07 RATE"/>
      <sheetName val="01_09 NPER"/>
    </sheetNames>
    <sheetDataSet>
      <sheetData sheetId="0" refreshError="1"/>
      <sheetData sheetId="1" refreshError="1"/>
      <sheetData sheetId="2">
        <row r="1">
          <cell r="A1" t="str">
            <v>Splitting Interest and Principal Payments</v>
          </cell>
        </row>
        <row r="10">
          <cell r="B10" t="str">
            <v>Interest Only</v>
          </cell>
          <cell r="C10">
            <v>75000</v>
          </cell>
          <cell r="D10">
            <v>69698.555443040823</v>
          </cell>
          <cell r="E10">
            <v>63999.502544309718</v>
          </cell>
          <cell r="F10">
            <v>57873.020678173772</v>
          </cell>
          <cell r="G10">
            <v>51287.052672077625</v>
          </cell>
          <cell r="H10">
            <v>44207.137065524286</v>
          </cell>
          <cell r="I10">
            <v>36596.227788479431</v>
          </cell>
          <cell r="J10">
            <v>28414.500315656212</v>
          </cell>
          <cell r="K10">
            <v>19619.143282371257</v>
          </cell>
          <cell r="L10">
            <v>10164.134471589927</v>
          </cell>
        </row>
        <row r="11">
          <cell r="B11" t="str">
            <v>Principal Only</v>
          </cell>
          <cell r="C11">
            <v>70685.927426122318</v>
          </cell>
          <cell r="D11">
            <v>75987.371983081481</v>
          </cell>
          <cell r="E11">
            <v>81686.424881812593</v>
          </cell>
          <cell r="F11">
            <v>87812.906747948538</v>
          </cell>
          <cell r="G11">
            <v>94398.874754044678</v>
          </cell>
          <cell r="H11">
            <v>101478.79036059802</v>
          </cell>
          <cell r="I11">
            <v>109089.69963764287</v>
          </cell>
          <cell r="J11">
            <v>117271.42711046609</v>
          </cell>
          <cell r="K11">
            <v>126066.78414375107</v>
          </cell>
          <cell r="L11">
            <v>135521.79295453237</v>
          </cell>
        </row>
      </sheetData>
      <sheetData sheetId="3">
        <row r="1">
          <cell r="A1" t="str">
            <v>Splitting Interest and Principal Payments</v>
          </cell>
        </row>
        <row r="10">
          <cell r="B10" t="str">
            <v>Interest Only</v>
          </cell>
          <cell r="C10">
            <v>75000</v>
          </cell>
          <cell r="D10">
            <v>69698.555443040823</v>
          </cell>
          <cell r="E10">
            <v>63999.502544309718</v>
          </cell>
          <cell r="F10">
            <v>57873.020678173772</v>
          </cell>
          <cell r="G10">
            <v>51287.052672077625</v>
          </cell>
          <cell r="H10">
            <v>44207.137065524286</v>
          </cell>
          <cell r="I10">
            <v>36596.227788479431</v>
          </cell>
          <cell r="J10">
            <v>28414.500315656212</v>
          </cell>
          <cell r="K10">
            <v>19619.143282371257</v>
          </cell>
          <cell r="L10">
            <v>10164.134471589927</v>
          </cell>
        </row>
        <row r="11">
          <cell r="B11" t="str">
            <v>Principal Only</v>
          </cell>
          <cell r="C11">
            <v>70685.927426122318</v>
          </cell>
          <cell r="D11">
            <v>75987.371983081481</v>
          </cell>
          <cell r="E11">
            <v>81686.424881812593</v>
          </cell>
          <cell r="F11">
            <v>87812.906747948538</v>
          </cell>
          <cell r="G11">
            <v>94398.874754044678</v>
          </cell>
          <cell r="H11">
            <v>101478.79036059802</v>
          </cell>
          <cell r="I11">
            <v>109089.69963764287</v>
          </cell>
          <cell r="J11">
            <v>117271.42711046609</v>
          </cell>
          <cell r="K11">
            <v>126066.78414375107</v>
          </cell>
          <cell r="L11">
            <v>135521.79295453237</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02_01 SLN"/>
      <sheetName val="02_02 DB"/>
      <sheetName val="02_03 DDB"/>
      <sheetName val="02_04 SYD"/>
      <sheetName val="02_05 VBD"/>
      <sheetName val="02_06 Comp"/>
    </sheetNames>
    <sheetDataSet>
      <sheetData sheetId="0" refreshError="1"/>
      <sheetData sheetId="1" refreshError="1"/>
      <sheetData sheetId="2" refreshError="1"/>
      <sheetData sheetId="3" refreshError="1"/>
      <sheetData sheetId="4" refreshError="1"/>
      <sheetData sheetId="5">
        <row r="9">
          <cell r="C9">
            <v>2026</v>
          </cell>
          <cell r="D9">
            <v>2027</v>
          </cell>
          <cell r="E9">
            <v>2028</v>
          </cell>
          <cell r="F9">
            <v>2029</v>
          </cell>
          <cell r="G9">
            <v>2030</v>
          </cell>
          <cell r="H9">
            <v>2031</v>
          </cell>
          <cell r="I9">
            <v>2032</v>
          </cell>
          <cell r="J9">
            <v>2033</v>
          </cell>
          <cell r="K9">
            <v>2034</v>
          </cell>
          <cell r="L9">
            <v>2035</v>
          </cell>
        </row>
        <row r="11">
          <cell r="B11" t="str">
            <v>Straight-Line</v>
          </cell>
          <cell r="C11">
            <v>4500</v>
          </cell>
          <cell r="D11">
            <v>4500</v>
          </cell>
          <cell r="E11">
            <v>4500</v>
          </cell>
          <cell r="F11">
            <v>4500</v>
          </cell>
          <cell r="G11">
            <v>4500</v>
          </cell>
          <cell r="H11">
            <v>4500</v>
          </cell>
          <cell r="I11">
            <v>4500</v>
          </cell>
          <cell r="J11">
            <v>4500</v>
          </cell>
          <cell r="K11">
            <v>4500</v>
          </cell>
          <cell r="L11">
            <v>4500</v>
          </cell>
        </row>
        <row r="12">
          <cell r="B12" t="str">
            <v>Fixed Declining</v>
          </cell>
          <cell r="C12">
            <v>10300</v>
          </cell>
          <cell r="D12">
            <v>8178.2</v>
          </cell>
          <cell r="E12">
            <v>6493.4907999999996</v>
          </cell>
          <cell r="F12">
            <v>5155.8316951999996</v>
          </cell>
          <cell r="G12">
            <v>4093.7303659887998</v>
          </cell>
          <cell r="H12">
            <v>3250.421910595107</v>
          </cell>
          <cell r="I12">
            <v>2580.834997012515</v>
          </cell>
          <cell r="J12">
            <v>2049.1829876279371</v>
          </cell>
          <cell r="K12">
            <v>1627.0512921765821</v>
          </cell>
          <cell r="L12">
            <v>1291.8787259882063</v>
          </cell>
        </row>
        <row r="13">
          <cell r="B13" t="str">
            <v>Double Declining</v>
          </cell>
          <cell r="C13">
            <v>10000</v>
          </cell>
          <cell r="D13">
            <v>8000</v>
          </cell>
          <cell r="E13">
            <v>6400.0000000000018</v>
          </cell>
          <cell r="F13">
            <v>5120.0000000000018</v>
          </cell>
          <cell r="G13">
            <v>4096.0000000000027</v>
          </cell>
          <cell r="H13">
            <v>3276.8000000000025</v>
          </cell>
          <cell r="I13">
            <v>2621.4400000000019</v>
          </cell>
          <cell r="J13">
            <v>2097.1520000000014</v>
          </cell>
          <cell r="K13">
            <v>1677.7216000000017</v>
          </cell>
          <cell r="L13">
            <v>1342.1772800000012</v>
          </cell>
        </row>
        <row r="14">
          <cell r="B14" t="str">
            <v>Sum-Of-The-Years-Digits</v>
          </cell>
          <cell r="C14">
            <v>8181.818181818182</v>
          </cell>
          <cell r="D14">
            <v>7363.636363636364</v>
          </cell>
          <cell r="E14">
            <v>6545.454545454545</v>
          </cell>
          <cell r="F14">
            <v>5727.272727272727</v>
          </cell>
          <cell r="G14">
            <v>4909.090909090909</v>
          </cell>
          <cell r="H14">
            <v>4090.909090909091</v>
          </cell>
          <cell r="I14">
            <v>3272.7272727272725</v>
          </cell>
          <cell r="J14">
            <v>2454.5454545454545</v>
          </cell>
          <cell r="K14">
            <v>1636.3636363636363</v>
          </cell>
          <cell r="L14">
            <v>818.18181818181813</v>
          </cell>
        </row>
        <row r="15">
          <cell r="B15" t="str">
            <v>Variable Declining Balance</v>
          </cell>
          <cell r="C15">
            <v>10000</v>
          </cell>
          <cell r="D15">
            <v>8000</v>
          </cell>
          <cell r="E15">
            <v>6400</v>
          </cell>
          <cell r="F15">
            <v>5120</v>
          </cell>
          <cell r="G15">
            <v>4096</v>
          </cell>
          <cell r="H15">
            <v>3276.8</v>
          </cell>
          <cell r="I15">
            <v>2621.4400000000005</v>
          </cell>
          <cell r="J15">
            <v>2097.152</v>
          </cell>
          <cell r="K15">
            <v>1694.3040000000001</v>
          </cell>
          <cell r="L15">
            <v>1694.3040000000001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AA4FA-7D16-440D-A5B2-644462FF5327}">
  <dimension ref="A1:AP17"/>
  <sheetViews>
    <sheetView zoomScale="160" zoomScaleNormal="160" workbookViewId="0">
      <selection activeCell="AM1" sqref="AM1:AP3"/>
    </sheetView>
  </sheetViews>
  <sheetFormatPr defaultRowHeight="15" x14ac:dyDescent="0.25"/>
  <cols>
    <col min="1" max="1" width="26" bestFit="1" customWidth="1"/>
    <col min="2" max="2" width="39.5703125" customWidth="1"/>
    <col min="3" max="3" width="13.140625" bestFit="1" customWidth="1"/>
    <col min="4" max="4" width="34.42578125" customWidth="1"/>
    <col min="5" max="5" width="11" customWidth="1"/>
    <col min="6" max="6" width="15.140625" bestFit="1" customWidth="1"/>
    <col min="7" max="7" width="19.28515625" bestFit="1" customWidth="1"/>
    <col min="8" max="8" width="12.5703125" bestFit="1" customWidth="1"/>
    <col min="9" max="9" width="24" bestFit="1" customWidth="1"/>
    <col min="11" max="11" width="29.42578125" bestFit="1" customWidth="1"/>
    <col min="12" max="12" width="24.28515625" bestFit="1" customWidth="1"/>
    <col min="13" max="13" width="13.140625" bestFit="1" customWidth="1"/>
    <col min="14" max="14" width="32.42578125" customWidth="1"/>
    <col min="16" max="16" width="31.140625" bestFit="1" customWidth="1"/>
    <col min="17" max="17" width="27.5703125" bestFit="1" customWidth="1"/>
    <col min="18" max="18" width="17.42578125" customWidth="1"/>
    <col min="19" max="19" width="32" bestFit="1" customWidth="1"/>
    <col min="20" max="20" width="44.140625" bestFit="1" customWidth="1"/>
    <col min="21" max="21" width="27.5703125" customWidth="1"/>
    <col min="22" max="22" width="6.140625" bestFit="1" customWidth="1"/>
    <col min="24" max="24" width="13.85546875" bestFit="1" customWidth="1"/>
    <col min="25" max="25" width="27.85546875" bestFit="1" customWidth="1"/>
    <col min="26" max="26" width="6.140625" bestFit="1" customWidth="1"/>
    <col min="28" max="28" width="35.28515625" bestFit="1" customWidth="1"/>
    <col min="29" max="29" width="27.5703125" bestFit="1" customWidth="1"/>
    <col min="30" max="30" width="9" bestFit="1" customWidth="1"/>
    <col min="31" max="31" width="13.7109375" bestFit="1" customWidth="1"/>
    <col min="33" max="33" width="15.140625" bestFit="1" customWidth="1"/>
    <col min="34" max="34" width="27.5703125" bestFit="1" customWidth="1"/>
    <col min="35" max="35" width="9" bestFit="1" customWidth="1"/>
    <col min="36" max="36" width="13.7109375" bestFit="1" customWidth="1"/>
    <col min="38" max="38" width="22.42578125" customWidth="1"/>
    <col min="39" max="39" width="26.5703125" bestFit="1" customWidth="1"/>
    <col min="40" max="40" width="12.140625" bestFit="1" customWidth="1"/>
    <col min="41" max="41" width="13.42578125" bestFit="1" customWidth="1"/>
  </cols>
  <sheetData>
    <row r="1" spans="1:42" ht="15" customHeight="1" x14ac:dyDescent="0.25">
      <c r="A1" s="1" t="s">
        <v>0</v>
      </c>
      <c r="B1" s="18" t="s">
        <v>46</v>
      </c>
      <c r="C1" s="18"/>
      <c r="D1" s="18"/>
      <c r="F1" s="1" t="s">
        <v>0</v>
      </c>
      <c r="G1" s="18" t="s">
        <v>45</v>
      </c>
      <c r="H1" s="18"/>
      <c r="I1" s="18"/>
      <c r="K1" s="1" t="s">
        <v>21</v>
      </c>
      <c r="L1" s="18" t="s">
        <v>44</v>
      </c>
      <c r="M1" s="18"/>
      <c r="N1" s="18"/>
      <c r="O1" s="17"/>
      <c r="P1" s="1" t="s">
        <v>49</v>
      </c>
      <c r="Q1" s="79" t="s">
        <v>60</v>
      </c>
      <c r="R1" s="79"/>
      <c r="T1" s="1" t="s">
        <v>61</v>
      </c>
      <c r="U1" s="80" t="s">
        <v>77</v>
      </c>
      <c r="V1" s="80"/>
      <c r="W1" s="80"/>
      <c r="X1" s="80"/>
      <c r="Y1" s="80"/>
      <c r="Z1" s="80"/>
      <c r="AB1" s="1" t="s">
        <v>78</v>
      </c>
      <c r="AC1" s="79" t="s">
        <v>89</v>
      </c>
      <c r="AD1" s="79"/>
      <c r="AE1" s="79"/>
      <c r="AG1" s="1" t="s">
        <v>78</v>
      </c>
      <c r="AH1" s="79" t="s">
        <v>91</v>
      </c>
      <c r="AI1" s="79"/>
      <c r="AJ1" s="79"/>
      <c r="AL1" s="1" t="s">
        <v>92</v>
      </c>
      <c r="AM1" s="80" t="s">
        <v>98</v>
      </c>
      <c r="AN1" s="80"/>
      <c r="AO1" s="80"/>
      <c r="AP1" s="80"/>
    </row>
    <row r="2" spans="1:42" ht="60" customHeight="1" x14ac:dyDescent="0.25">
      <c r="A2" s="2" t="s">
        <v>1</v>
      </c>
      <c r="B2" s="18"/>
      <c r="C2" s="18"/>
      <c r="D2" s="18"/>
      <c r="E2" s="3"/>
      <c r="F2" s="2" t="s">
        <v>2</v>
      </c>
      <c r="G2" s="18"/>
      <c r="H2" s="18"/>
      <c r="I2" s="18"/>
      <c r="K2" s="2" t="s">
        <v>22</v>
      </c>
      <c r="L2" s="18"/>
      <c r="M2" s="18"/>
      <c r="N2" s="18"/>
      <c r="P2" s="2" t="s">
        <v>50</v>
      </c>
      <c r="Q2" s="79"/>
      <c r="R2" s="79"/>
      <c r="T2" s="2" t="s">
        <v>62</v>
      </c>
      <c r="U2" s="80"/>
      <c r="V2" s="80"/>
      <c r="W2" s="80"/>
      <c r="X2" s="80"/>
      <c r="Y2" s="80"/>
      <c r="Z2" s="80"/>
      <c r="AB2" s="2" t="s">
        <v>79</v>
      </c>
      <c r="AC2" s="79"/>
      <c r="AD2" s="79"/>
      <c r="AE2" s="79"/>
      <c r="AF2" s="3"/>
      <c r="AG2" s="2" t="s">
        <v>2</v>
      </c>
      <c r="AH2" s="79"/>
      <c r="AI2" s="79"/>
      <c r="AJ2" s="79"/>
      <c r="AL2" s="32" t="s">
        <v>99</v>
      </c>
      <c r="AM2" s="80"/>
      <c r="AN2" s="80"/>
      <c r="AO2" s="80"/>
      <c r="AP2" s="80"/>
    </row>
    <row r="3" spans="1:42" ht="30" x14ac:dyDescent="0.25">
      <c r="B3" s="18"/>
      <c r="C3" s="18"/>
      <c r="D3" s="18"/>
      <c r="G3" s="18"/>
      <c r="H3" s="18"/>
      <c r="I3" s="18"/>
      <c r="L3" s="18"/>
      <c r="M3" s="18"/>
      <c r="N3" s="18"/>
      <c r="Q3" s="79"/>
      <c r="R3" s="79"/>
      <c r="T3" s="58" t="s">
        <v>97</v>
      </c>
      <c r="U3" s="80"/>
      <c r="V3" s="80"/>
      <c r="W3" s="80"/>
      <c r="X3" s="80"/>
      <c r="Y3" s="80"/>
      <c r="Z3" s="80"/>
      <c r="AB3" s="14" t="s">
        <v>90</v>
      </c>
      <c r="AC3" s="79"/>
      <c r="AD3" s="79"/>
      <c r="AE3" s="79"/>
      <c r="AH3" s="79"/>
      <c r="AI3" s="79"/>
      <c r="AJ3" s="79"/>
      <c r="AL3" s="59" t="s">
        <v>100</v>
      </c>
      <c r="AM3" s="80"/>
      <c r="AN3" s="80"/>
      <c r="AO3" s="80"/>
      <c r="AP3" s="80"/>
    </row>
    <row r="4" spans="1:42" x14ac:dyDescent="0.25">
      <c r="A4" t="s">
        <v>3</v>
      </c>
      <c r="B4" t="s">
        <v>4</v>
      </c>
      <c r="C4" s="4">
        <v>5.45E-2</v>
      </c>
      <c r="D4" t="s">
        <v>16</v>
      </c>
      <c r="F4" t="s">
        <v>3</v>
      </c>
      <c r="G4" t="s">
        <v>4</v>
      </c>
      <c r="H4" s="4">
        <v>5.45E-2</v>
      </c>
      <c r="K4" t="s">
        <v>3</v>
      </c>
      <c r="L4" t="s">
        <v>4</v>
      </c>
      <c r="M4" s="4">
        <v>5.45E-2</v>
      </c>
      <c r="N4" t="s">
        <v>16</v>
      </c>
      <c r="P4" t="s">
        <v>3</v>
      </c>
      <c r="Q4" t="s">
        <v>4</v>
      </c>
      <c r="R4" s="4">
        <v>7.4999999999999997E-2</v>
      </c>
      <c r="T4" s="49" t="s">
        <v>63</v>
      </c>
      <c r="U4" s="49"/>
      <c r="V4" s="49"/>
      <c r="X4" s="49" t="s">
        <v>64</v>
      </c>
      <c r="Y4" s="49"/>
      <c r="Z4" s="49"/>
      <c r="AB4" t="s">
        <v>5</v>
      </c>
      <c r="AC4" t="s">
        <v>80</v>
      </c>
      <c r="AD4" s="5">
        <v>5</v>
      </c>
      <c r="AE4" s="52" t="s">
        <v>81</v>
      </c>
      <c r="AG4" t="s">
        <v>5</v>
      </c>
      <c r="AH4" t="s">
        <v>80</v>
      </c>
      <c r="AI4" s="5">
        <v>5</v>
      </c>
      <c r="AJ4" s="52" t="s">
        <v>81</v>
      </c>
      <c r="AL4" t="s">
        <v>3</v>
      </c>
      <c r="AM4" t="s">
        <v>4</v>
      </c>
      <c r="AN4" s="56">
        <v>6.25E-2</v>
      </c>
      <c r="AO4" s="52"/>
    </row>
    <row r="5" spans="1:42" x14ac:dyDescent="0.25">
      <c r="A5" t="s">
        <v>5</v>
      </c>
      <c r="B5" t="s">
        <v>6</v>
      </c>
      <c r="C5" s="5">
        <v>25</v>
      </c>
      <c r="D5" t="s">
        <v>17</v>
      </c>
      <c r="F5" t="s">
        <v>5</v>
      </c>
      <c r="G5" t="s">
        <v>6</v>
      </c>
      <c r="H5" s="5">
        <v>25</v>
      </c>
      <c r="K5" t="s">
        <v>23</v>
      </c>
      <c r="L5" t="s">
        <v>24</v>
      </c>
      <c r="M5" s="15">
        <v>1</v>
      </c>
      <c r="N5" t="s">
        <v>17</v>
      </c>
      <c r="P5" t="s">
        <v>5</v>
      </c>
      <c r="Q5" t="s">
        <v>6</v>
      </c>
      <c r="R5" s="5">
        <v>10</v>
      </c>
      <c r="AB5" t="s">
        <v>82</v>
      </c>
      <c r="AC5" t="s">
        <v>83</v>
      </c>
      <c r="AD5" s="6">
        <v>1500</v>
      </c>
      <c r="AG5" t="s">
        <v>82</v>
      </c>
      <c r="AH5" t="s">
        <v>83</v>
      </c>
      <c r="AI5" s="6">
        <v>1500</v>
      </c>
      <c r="AL5" t="s">
        <v>82</v>
      </c>
      <c r="AM5" t="s">
        <v>93</v>
      </c>
      <c r="AN5" s="12">
        <v>-250</v>
      </c>
      <c r="AO5" s="52" t="s">
        <v>85</v>
      </c>
    </row>
    <row r="6" spans="1:42" x14ac:dyDescent="0.25">
      <c r="A6" t="s">
        <v>7</v>
      </c>
      <c r="B6" t="s">
        <v>8</v>
      </c>
      <c r="C6" s="12">
        <v>950000</v>
      </c>
      <c r="D6" t="s">
        <v>18</v>
      </c>
      <c r="F6" t="s">
        <v>7</v>
      </c>
      <c r="G6" t="s">
        <v>8</v>
      </c>
      <c r="H6" s="22">
        <v>950000</v>
      </c>
      <c r="K6" t="s">
        <v>5</v>
      </c>
      <c r="L6" t="s">
        <v>6</v>
      </c>
      <c r="M6" s="5">
        <v>25</v>
      </c>
      <c r="N6" t="s">
        <v>18</v>
      </c>
      <c r="P6" t="s">
        <v>7</v>
      </c>
      <c r="Q6" t="s">
        <v>8</v>
      </c>
      <c r="R6" s="12">
        <v>1000000</v>
      </c>
      <c r="T6" t="s">
        <v>65</v>
      </c>
      <c r="U6" t="s">
        <v>66</v>
      </c>
      <c r="V6" s="4">
        <v>0.06</v>
      </c>
      <c r="X6" t="s">
        <v>67</v>
      </c>
      <c r="Y6" t="s">
        <v>68</v>
      </c>
      <c r="Z6" s="4">
        <v>0.06</v>
      </c>
      <c r="AB6" t="s">
        <v>7</v>
      </c>
      <c r="AC6" t="s">
        <v>84</v>
      </c>
      <c r="AD6" s="53">
        <v>-80000</v>
      </c>
      <c r="AE6" s="52" t="s">
        <v>85</v>
      </c>
      <c r="AG6" t="s">
        <v>7</v>
      </c>
      <c r="AH6" t="s">
        <v>84</v>
      </c>
      <c r="AI6" s="53">
        <v>-80000</v>
      </c>
      <c r="AJ6" s="52" t="s">
        <v>85</v>
      </c>
      <c r="AL6" t="s">
        <v>7</v>
      </c>
      <c r="AM6" t="s">
        <v>94</v>
      </c>
      <c r="AN6" s="12">
        <v>-25000</v>
      </c>
      <c r="AO6" s="52" t="s">
        <v>85</v>
      </c>
    </row>
    <row r="7" spans="1:42" x14ac:dyDescent="0.25">
      <c r="A7" t="s">
        <v>9</v>
      </c>
      <c r="B7" t="s">
        <v>10</v>
      </c>
      <c r="C7" s="6">
        <v>0</v>
      </c>
      <c r="D7" t="s">
        <v>19</v>
      </c>
      <c r="K7" t="s">
        <v>7</v>
      </c>
      <c r="L7" t="s">
        <v>8</v>
      </c>
      <c r="M7" s="12">
        <v>950000</v>
      </c>
      <c r="N7" t="s">
        <v>19</v>
      </c>
      <c r="P7" t="s">
        <v>51</v>
      </c>
      <c r="Q7" t="s">
        <v>52</v>
      </c>
      <c r="R7" s="47">
        <v>1</v>
      </c>
      <c r="T7" t="s">
        <v>69</v>
      </c>
      <c r="U7" t="s">
        <v>70</v>
      </c>
      <c r="V7" s="15">
        <v>12</v>
      </c>
      <c r="X7" t="s">
        <v>69</v>
      </c>
      <c r="Y7" t="s">
        <v>70</v>
      </c>
      <c r="Z7" s="15">
        <v>12</v>
      </c>
      <c r="AB7" t="s">
        <v>9</v>
      </c>
      <c r="AC7" t="s">
        <v>86</v>
      </c>
      <c r="AD7" s="6">
        <v>0</v>
      </c>
      <c r="AL7" t="s">
        <v>9</v>
      </c>
      <c r="AM7" t="s">
        <v>86</v>
      </c>
      <c r="AN7" s="12">
        <v>35000</v>
      </c>
    </row>
    <row r="8" spans="1:42" x14ac:dyDescent="0.25">
      <c r="A8" t="s">
        <v>11</v>
      </c>
      <c r="B8" t="s">
        <v>12</v>
      </c>
      <c r="C8" s="7">
        <v>0</v>
      </c>
      <c r="D8" t="s">
        <v>20</v>
      </c>
      <c r="K8" t="s">
        <v>9</v>
      </c>
      <c r="L8" t="s">
        <v>10</v>
      </c>
      <c r="M8" s="6">
        <v>0</v>
      </c>
      <c r="N8" t="s">
        <v>20</v>
      </c>
      <c r="P8" t="s">
        <v>53</v>
      </c>
      <c r="Q8" t="s">
        <v>54</v>
      </c>
      <c r="R8" s="47">
        <v>1</v>
      </c>
      <c r="AB8" t="s">
        <v>11</v>
      </c>
      <c r="AC8" t="s">
        <v>12</v>
      </c>
      <c r="AD8" s="7">
        <v>0</v>
      </c>
      <c r="AL8" t="s">
        <v>11</v>
      </c>
      <c r="AM8" t="s">
        <v>12</v>
      </c>
      <c r="AN8" s="7">
        <v>0</v>
      </c>
    </row>
    <row r="9" spans="1:42" x14ac:dyDescent="0.25">
      <c r="P9" t="s">
        <v>11</v>
      </c>
      <c r="Q9" t="s">
        <v>12</v>
      </c>
      <c r="R9" s="47">
        <v>0</v>
      </c>
      <c r="T9" t="s">
        <v>71</v>
      </c>
      <c r="U9" t="s">
        <v>72</v>
      </c>
      <c r="V9" s="50">
        <f>NOMINAL(V6,V7)</f>
        <v>5.8410606784116581E-2</v>
      </c>
      <c r="X9" t="s">
        <v>73</v>
      </c>
      <c r="Y9" t="s">
        <v>74</v>
      </c>
      <c r="Z9" s="50">
        <f>EFFECT(Z6,Z7)</f>
        <v>6.1677811864497611E-2</v>
      </c>
      <c r="AB9" t="s">
        <v>87</v>
      </c>
      <c r="AC9" t="s">
        <v>88</v>
      </c>
      <c r="AD9" s="54">
        <v>0.1</v>
      </c>
    </row>
    <row r="10" spans="1:42" x14ac:dyDescent="0.25">
      <c r="B10" s="14" t="s">
        <v>15</v>
      </c>
      <c r="G10" s="21" t="s">
        <v>32</v>
      </c>
      <c r="K10" t="s">
        <v>25</v>
      </c>
      <c r="L10" t="s">
        <v>26</v>
      </c>
      <c r="M10" s="13">
        <f>PPMT(M4/12,M5,M6*12,M7,M8)*-1</f>
        <v>1490.9152122400119</v>
      </c>
      <c r="N10" s="16" t="str">
        <f ca="1">_xlfn.FORMULATEXT(M10)</f>
        <v>=PPMT(M4/12,M5,M6*12,M7,M8)*-1</v>
      </c>
      <c r="AM10" t="s">
        <v>95</v>
      </c>
      <c r="AN10" s="57">
        <f>NPER(AN4,AN5*12,AN6,AN7,AN8)</f>
        <v>2.1176407011153313</v>
      </c>
    </row>
    <row r="11" spans="1:42" ht="24" x14ac:dyDescent="0.4">
      <c r="A11" s="19"/>
      <c r="B11" t="s">
        <v>13</v>
      </c>
      <c r="C11" s="13">
        <f>PMT(C4,C5,C6,C7,C8)*-1</f>
        <v>70476.69252842381</v>
      </c>
      <c r="D11" s="16" t="str">
        <f ca="1">_xlfn.FORMULATEXT(C11)</f>
        <v>=PMT(C4,C5,C6,C7,C8)*-1</v>
      </c>
      <c r="G11" t="s">
        <v>14</v>
      </c>
      <c r="H11" s="23">
        <f>PMT(H4/12,H5*12,H6)*-1</f>
        <v>5805.4985455733449</v>
      </c>
      <c r="I11" s="16" t="str">
        <f ca="1">_xlfn.FORMULATEXT(H11)</f>
        <v>=PMT(H4/12,H5*12,H6)*-1</v>
      </c>
      <c r="K11" t="s">
        <v>27</v>
      </c>
      <c r="L11" t="s">
        <v>28</v>
      </c>
      <c r="M11" s="13">
        <f>IPMT(M4/12,M5,M6*12,M7,M8)*-1</f>
        <v>4314.5833333333339</v>
      </c>
      <c r="N11" s="16" t="str">
        <f ca="1">_xlfn.FORMULATEXT(M11)</f>
        <v>=IPMT(M4/12,M5,M6*12,M7,M8)*-1</v>
      </c>
      <c r="P11" t="s">
        <v>55</v>
      </c>
      <c r="Q11" t="s">
        <v>56</v>
      </c>
      <c r="R11" s="13">
        <f>CUMIPMT(R4,R5,R6,R7,R8,R9)*-1</f>
        <v>74999.999999999985</v>
      </c>
      <c r="S11" t="str">
        <f ca="1">_xlfn.FORMULATEXT(R11)</f>
        <v>=CUMIPMT(R4,R5,R6,R7,R8,R9)*-1</v>
      </c>
      <c r="T11" s="16" t="str">
        <f ca="1">_xlfn.FORMULATEXT(V9)</f>
        <v>=NOMINAL(V6,V7)</v>
      </c>
      <c r="V11" t="str">
        <f ca="1">_xlfn.FORMULATEXT(V9)</f>
        <v>=NOMINAL(V6,V7)</v>
      </c>
      <c r="X11" s="16" t="str">
        <f ca="1">_xlfn.FORMULATEXT(Z9)</f>
        <v>=EFFECT(Z6,Z7)</v>
      </c>
      <c r="AB11" t="s">
        <v>78</v>
      </c>
      <c r="AC11" t="s">
        <v>4</v>
      </c>
      <c r="AD11" s="55">
        <f>RATE(AD4*12,AD5,AD6,AD7,AD8,AD9)*12</f>
        <v>4.7348546755813056E-2</v>
      </c>
      <c r="AG11" t="s">
        <v>78</v>
      </c>
      <c r="AH11" t="s">
        <v>3</v>
      </c>
      <c r="AI11" s="55">
        <f>RATE(AI4*12,AI5,AI6)*12</f>
        <v>4.7348546755813056E-2</v>
      </c>
      <c r="AM11" t="s">
        <v>96</v>
      </c>
      <c r="AN11" s="57">
        <f>NPER(AN4/12,AN5,AN6,AN7,AN8)</f>
        <v>24.713319003417539</v>
      </c>
      <c r="AO11" s="9"/>
    </row>
    <row r="12" spans="1:42" ht="24" x14ac:dyDescent="0.4">
      <c r="B12" t="s">
        <v>14</v>
      </c>
      <c r="C12" s="13">
        <f>C11/12</f>
        <v>5873.0577107019844</v>
      </c>
      <c r="D12" s="16" t="str">
        <f ca="1">_xlfn.FORMULATEXT(C12)</f>
        <v>=C11/12</v>
      </c>
      <c r="L12" s="16" t="s">
        <v>29</v>
      </c>
      <c r="M12" s="24">
        <f>SUM(M10:M11)</f>
        <v>5805.4985455733458</v>
      </c>
      <c r="N12" s="16" t="str">
        <f ca="1">_xlfn.FORMULATEXT(M12)</f>
        <v>=SUM(M10:M11)</v>
      </c>
      <c r="P12" t="s">
        <v>57</v>
      </c>
      <c r="Q12" t="s">
        <v>58</v>
      </c>
      <c r="R12" s="13">
        <f>CUMPRINC(R4,R5,R6,R7,R8,R9)*-1</f>
        <v>70685.927426122318</v>
      </c>
      <c r="S12" t="str">
        <f ca="1">_xlfn.FORMULATEXT(R12)</f>
        <v>=CUMPRINC(R4,R5,R6,R7,R8,R9)*-1</v>
      </c>
      <c r="AB12" s="16" t="str">
        <f ca="1">_xlfn.FORMULATEXT(AD11)</f>
        <v>=RATE(AD4*12,AD5,AD6,AD7,AD8,AD9)*12</v>
      </c>
      <c r="AC12" s="9"/>
      <c r="AD12" s="9"/>
      <c r="AE12" s="9"/>
      <c r="AF12" s="9"/>
      <c r="AH12" s="16" t="str">
        <f ca="1">_xlfn.FORMULATEXT(AI11)</f>
        <v>=RATE(AI4*12,AI5,AI6)*12</v>
      </c>
      <c r="AM12" s="16" t="str">
        <f ca="1">_xlfn.FORMULATEXT(AN10)</f>
        <v>=NPER(AN4,AN5*12,AN6,AN7,AN8)</v>
      </c>
    </row>
    <row r="13" spans="1:42" ht="24" x14ac:dyDescent="0.4">
      <c r="B13" s="10"/>
      <c r="C13" s="10"/>
      <c r="D13" s="10"/>
      <c r="E13" s="10"/>
      <c r="K13" s="20" t="s">
        <v>30</v>
      </c>
      <c r="Q13" s="48" t="s">
        <v>59</v>
      </c>
      <c r="R13" s="24">
        <f>SUM(R11:R12)</f>
        <v>145685.9274261223</v>
      </c>
      <c r="AD13" s="136">
        <f>RATE(AD4,AD5*12,AD6,AD7,AD8,AD9)</f>
        <v>4.0590707929074245E-2</v>
      </c>
      <c r="AM13" s="16" t="str">
        <f ca="1">_xlfn.FORMULATEXT(AN11)</f>
        <v>=NPER(AN4/12,AN5,AN6,AN7,AN8)</v>
      </c>
    </row>
    <row r="14" spans="1:42" x14ac:dyDescent="0.25">
      <c r="K14" s="21" t="s">
        <v>31</v>
      </c>
      <c r="M14" s="19"/>
    </row>
    <row r="15" spans="1:42" x14ac:dyDescent="0.25">
      <c r="P15" s="51" t="s">
        <v>75</v>
      </c>
      <c r="Q15" s="51"/>
    </row>
    <row r="16" spans="1:42" x14ac:dyDescent="0.25">
      <c r="P16" s="51" t="s">
        <v>76</v>
      </c>
      <c r="Q16" s="51"/>
      <c r="S16">
        <f>CUMIPMT(R4,R5,R6,R7,R8,R9)*-1</f>
        <v>74999.999999999985</v>
      </c>
    </row>
    <row r="17" spans="19:19" x14ac:dyDescent="0.25">
      <c r="S17">
        <f>CUMPRINC(R4,R5,R6,R7,R8,R9)*-1</f>
        <v>70685.927426122318</v>
      </c>
    </row>
  </sheetData>
  <mergeCells count="10">
    <mergeCell ref="AM1:AP3"/>
    <mergeCell ref="P16:Q16"/>
    <mergeCell ref="U1:Z3"/>
    <mergeCell ref="AC1:AE3"/>
    <mergeCell ref="AH1:AJ3"/>
    <mergeCell ref="B1:D3"/>
    <mergeCell ref="G1:I3"/>
    <mergeCell ref="L1:N3"/>
    <mergeCell ref="Q1:R3"/>
    <mergeCell ref="P15:Q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16886-B1B6-4EF8-A024-3865E1B33BD0}">
  <dimension ref="A1:L17"/>
  <sheetViews>
    <sheetView zoomScale="130" zoomScaleNormal="130" workbookViewId="0">
      <selection activeCell="E9" sqref="E9"/>
    </sheetView>
  </sheetViews>
  <sheetFormatPr defaultRowHeight="15" x14ac:dyDescent="0.25"/>
  <cols>
    <col min="1" max="1" width="13.85546875" customWidth="1"/>
    <col min="2" max="2" width="18.140625" bestFit="1" customWidth="1"/>
    <col min="3" max="4" width="22.5703125" style="33" bestFit="1" customWidth="1"/>
    <col min="5" max="5" width="22.42578125" style="33" bestFit="1" customWidth="1"/>
    <col min="6" max="6" width="22.28515625" style="33" bestFit="1" customWidth="1"/>
    <col min="7" max="8" width="22.5703125" style="33" bestFit="1" customWidth="1"/>
    <col min="9" max="10" width="22" style="33" bestFit="1" customWidth="1"/>
    <col min="11" max="11" width="22.42578125" style="33" bestFit="1" customWidth="1"/>
    <col min="12" max="12" width="22.28515625" style="33" bestFit="1" customWidth="1"/>
  </cols>
  <sheetData>
    <row r="1" spans="1:12" ht="15" customHeight="1" x14ac:dyDescent="0.25">
      <c r="A1" s="1" t="s">
        <v>33</v>
      </c>
      <c r="B1" s="1"/>
      <c r="C1" s="80" t="s">
        <v>43</v>
      </c>
      <c r="D1" s="80"/>
      <c r="E1" s="80"/>
      <c r="F1" s="80"/>
      <c r="G1" s="80"/>
    </row>
    <row r="2" spans="1:12" x14ac:dyDescent="0.25">
      <c r="A2" s="81" t="s">
        <v>34</v>
      </c>
      <c r="B2" s="81"/>
      <c r="C2" s="80"/>
      <c r="D2" s="80"/>
      <c r="E2" s="80"/>
      <c r="F2" s="80"/>
      <c r="G2" s="80"/>
    </row>
    <row r="3" spans="1:12" x14ac:dyDescent="0.25">
      <c r="A3" s="81"/>
      <c r="B3" s="81"/>
      <c r="C3" s="80"/>
      <c r="D3" s="80"/>
      <c r="E3" s="80"/>
      <c r="F3" s="80"/>
      <c r="G3" s="80"/>
    </row>
    <row r="4" spans="1:12" x14ac:dyDescent="0.25">
      <c r="B4" t="s">
        <v>35</v>
      </c>
      <c r="C4" s="40">
        <v>1000000</v>
      </c>
    </row>
    <row r="5" spans="1:12" x14ac:dyDescent="0.25">
      <c r="B5" t="s">
        <v>36</v>
      </c>
      <c r="C5" s="34">
        <v>7.4999999999999997E-2</v>
      </c>
      <c r="E5" s="35"/>
    </row>
    <row r="6" spans="1:12" x14ac:dyDescent="0.25">
      <c r="B6" t="s">
        <v>37</v>
      </c>
      <c r="C6" s="36">
        <v>10</v>
      </c>
    </row>
    <row r="8" spans="1:12" x14ac:dyDescent="0.25">
      <c r="A8" s="29" t="s">
        <v>38</v>
      </c>
      <c r="B8" s="29" t="s">
        <v>39</v>
      </c>
      <c r="C8" s="37">
        <v>1</v>
      </c>
      <c r="D8" s="37">
        <v>2</v>
      </c>
      <c r="E8" s="37">
        <v>3</v>
      </c>
      <c r="F8" s="37">
        <v>4</v>
      </c>
      <c r="G8" s="37">
        <v>5</v>
      </c>
      <c r="H8" s="37">
        <v>6</v>
      </c>
      <c r="I8" s="37">
        <v>7</v>
      </c>
      <c r="J8" s="37">
        <v>8</v>
      </c>
      <c r="K8" s="37">
        <v>9</v>
      </c>
      <c r="L8" s="37">
        <v>10</v>
      </c>
    </row>
    <row r="9" spans="1:12" x14ac:dyDescent="0.25">
      <c r="A9" t="s">
        <v>0</v>
      </c>
      <c r="B9" s="16" t="s">
        <v>13</v>
      </c>
      <c r="C9" s="41">
        <f>PMT($C$5,$C$6,$C$4)*-1</f>
        <v>145685.9274261223</v>
      </c>
      <c r="D9" s="41">
        <f t="shared" ref="D9:L9" si="0">PMT($C$5,$C$6,$C$4)*-1</f>
        <v>145685.9274261223</v>
      </c>
      <c r="E9" s="41">
        <f t="shared" si="0"/>
        <v>145685.9274261223</v>
      </c>
      <c r="F9" s="41">
        <f t="shared" si="0"/>
        <v>145685.9274261223</v>
      </c>
      <c r="G9" s="41">
        <f t="shared" si="0"/>
        <v>145685.9274261223</v>
      </c>
      <c r="H9" s="41">
        <f t="shared" si="0"/>
        <v>145685.9274261223</v>
      </c>
      <c r="I9" s="41">
        <f t="shared" si="0"/>
        <v>145685.9274261223</v>
      </c>
      <c r="J9" s="41">
        <f t="shared" si="0"/>
        <v>145685.9274261223</v>
      </c>
      <c r="K9" s="41">
        <f t="shared" si="0"/>
        <v>145685.9274261223</v>
      </c>
      <c r="L9" s="41">
        <f t="shared" si="0"/>
        <v>145685.9274261223</v>
      </c>
    </row>
    <row r="10" spans="1:12" x14ac:dyDescent="0.25">
      <c r="A10" t="s">
        <v>27</v>
      </c>
      <c r="B10" s="43" t="s">
        <v>40</v>
      </c>
      <c r="C10" s="44">
        <f>IPMT($C$5,C8,$C$6,$C$4)*-1</f>
        <v>75000</v>
      </c>
      <c r="D10" s="44">
        <f t="shared" ref="D10:L10" si="1">IPMT($C$5,D8,$C$6,$C$4)*-1</f>
        <v>69698.555443040823</v>
      </c>
      <c r="E10" s="44">
        <f t="shared" si="1"/>
        <v>63999.502544309718</v>
      </c>
      <c r="F10" s="44">
        <f t="shared" si="1"/>
        <v>57873.020678173772</v>
      </c>
      <c r="G10" s="44">
        <f t="shared" si="1"/>
        <v>51287.052672077625</v>
      </c>
      <c r="H10" s="44">
        <f t="shared" si="1"/>
        <v>44207.137065524286</v>
      </c>
      <c r="I10" s="44">
        <f t="shared" si="1"/>
        <v>36596.227788479431</v>
      </c>
      <c r="J10" s="44">
        <f t="shared" si="1"/>
        <v>28414.500315656212</v>
      </c>
      <c r="K10" s="44">
        <f t="shared" si="1"/>
        <v>19619.143282371257</v>
      </c>
      <c r="L10" s="44">
        <f t="shared" si="1"/>
        <v>10164.134471589927</v>
      </c>
    </row>
    <row r="11" spans="1:12" x14ac:dyDescent="0.25">
      <c r="A11" t="s">
        <v>25</v>
      </c>
      <c r="B11" s="43" t="s">
        <v>41</v>
      </c>
      <c r="C11" s="44">
        <f>PPMT($C$5,C8,$C$6,$C$4)*-1</f>
        <v>70685.927426122318</v>
      </c>
      <c r="D11" s="44">
        <f t="shared" ref="D11:L11" si="2">PPMT($C$5,D8,$C$6,$C$4)*-1</f>
        <v>75987.371983081481</v>
      </c>
      <c r="E11" s="44">
        <f t="shared" si="2"/>
        <v>81686.424881812593</v>
      </c>
      <c r="F11" s="44">
        <f t="shared" si="2"/>
        <v>87812.906747948538</v>
      </c>
      <c r="G11" s="44">
        <f t="shared" si="2"/>
        <v>94398.874754044678</v>
      </c>
      <c r="H11" s="44">
        <f t="shared" si="2"/>
        <v>101478.79036059802</v>
      </c>
      <c r="I11" s="44">
        <f t="shared" si="2"/>
        <v>109089.69963764287</v>
      </c>
      <c r="J11" s="44">
        <f t="shared" si="2"/>
        <v>117271.42711046609</v>
      </c>
      <c r="K11" s="44">
        <f t="shared" si="2"/>
        <v>126066.78414375107</v>
      </c>
      <c r="L11" s="44">
        <f t="shared" si="2"/>
        <v>135521.79295453237</v>
      </c>
    </row>
    <row r="12" spans="1:12" x14ac:dyDescent="0.25">
      <c r="A12" t="s">
        <v>42</v>
      </c>
      <c r="B12" s="16" t="s">
        <v>13</v>
      </c>
      <c r="C12" s="42">
        <f>SUM(C10:C11)</f>
        <v>145685.9274261223</v>
      </c>
      <c r="D12" s="42">
        <f t="shared" ref="D12:L12" si="3">SUM(D10:D11)</f>
        <v>145685.9274261223</v>
      </c>
      <c r="E12" s="42">
        <f t="shared" si="3"/>
        <v>145685.9274261223</v>
      </c>
      <c r="F12" s="42">
        <f t="shared" si="3"/>
        <v>145685.9274261223</v>
      </c>
      <c r="G12" s="42">
        <f t="shared" si="3"/>
        <v>145685.9274261223</v>
      </c>
      <c r="H12" s="42">
        <f t="shared" si="3"/>
        <v>145685.9274261223</v>
      </c>
      <c r="I12" s="42">
        <f t="shared" si="3"/>
        <v>145685.9274261223</v>
      </c>
      <c r="J12" s="42">
        <f t="shared" si="3"/>
        <v>145685.9274261223</v>
      </c>
      <c r="K12" s="42">
        <f t="shared" si="3"/>
        <v>145685.92742612233</v>
      </c>
      <c r="L12" s="42">
        <f t="shared" si="3"/>
        <v>145685.9274261223</v>
      </c>
    </row>
    <row r="13" spans="1:12" x14ac:dyDescent="0.25">
      <c r="C13" s="38"/>
      <c r="D13" s="38"/>
      <c r="E13" s="38"/>
      <c r="F13" s="38"/>
      <c r="G13" s="38"/>
      <c r="H13" s="38"/>
      <c r="I13" s="38"/>
      <c r="J13" s="38"/>
      <c r="K13" s="38"/>
      <c r="L13" s="38"/>
    </row>
    <row r="14" spans="1:12" x14ac:dyDescent="0.25">
      <c r="C14" s="39" t="str">
        <f ca="1">_xlfn.FORMULATEXT(C9)</f>
        <v>=PMT($C$5,$C$6,$C$4)*-1</v>
      </c>
      <c r="D14" s="39" t="str">
        <f t="shared" ref="D14:L17" ca="1" si="4">_xlfn.FORMULATEXT(D9)</f>
        <v>=PMT($C$5,$C$6,$C$4)*-1</v>
      </c>
      <c r="E14" s="39" t="str">
        <f t="shared" ca="1" si="4"/>
        <v>=PMT($C$5,$C$6,$C$4)*-1</v>
      </c>
      <c r="F14" s="39" t="str">
        <f t="shared" ca="1" si="4"/>
        <v>=PMT($C$5,$C$6,$C$4)*-1</v>
      </c>
      <c r="G14" s="39" t="str">
        <f t="shared" ca="1" si="4"/>
        <v>=PMT($C$5,$C$6,$C$4)*-1</v>
      </c>
      <c r="H14" s="39" t="str">
        <f t="shared" ca="1" si="4"/>
        <v>=PMT($C$5,$C$6,$C$4)*-1</v>
      </c>
      <c r="I14" s="39" t="str">
        <f t="shared" ca="1" si="4"/>
        <v>=PMT($C$5,$C$6,$C$4)*-1</v>
      </c>
      <c r="J14" s="39" t="str">
        <f t="shared" ca="1" si="4"/>
        <v>=PMT($C$5,$C$6,$C$4)*-1</v>
      </c>
      <c r="K14" s="39" t="str">
        <f t="shared" ca="1" si="4"/>
        <v>=PMT($C$5,$C$6,$C$4)*-1</v>
      </c>
      <c r="L14" s="39" t="str">
        <f t="shared" ca="1" si="4"/>
        <v>=PMT($C$5,$C$6,$C$4)*-1</v>
      </c>
    </row>
    <row r="15" spans="1:12" x14ac:dyDescent="0.25">
      <c r="C15" s="39" t="str">
        <f ca="1">_xlfn.FORMULATEXT(C10)</f>
        <v>=IPMT($C$5,C8,$C$6,$C$4)*-1</v>
      </c>
      <c r="D15" s="39" t="str">
        <f t="shared" ca="1" si="4"/>
        <v>=IPMT($C$5,D8,$C$6,$C$4)*-1</v>
      </c>
      <c r="E15" s="39" t="str">
        <f t="shared" ca="1" si="4"/>
        <v>=IPMT($C$5,E8,$C$6,$C$4)*-1</v>
      </c>
      <c r="F15" s="39" t="str">
        <f t="shared" ca="1" si="4"/>
        <v>=IPMT($C$5,F8,$C$6,$C$4)*-1</v>
      </c>
      <c r="G15" s="39" t="str">
        <f t="shared" ca="1" si="4"/>
        <v>=IPMT($C$5,G8,$C$6,$C$4)*-1</v>
      </c>
      <c r="H15" s="39" t="str">
        <f t="shared" ca="1" si="4"/>
        <v>=IPMT($C$5,H8,$C$6,$C$4)*-1</v>
      </c>
      <c r="I15" s="39" t="str">
        <f t="shared" ca="1" si="4"/>
        <v>=IPMT($C$5,I8,$C$6,$C$4)*-1</v>
      </c>
      <c r="J15" s="39" t="str">
        <f t="shared" ca="1" si="4"/>
        <v>=IPMT($C$5,J8,$C$6,$C$4)*-1</v>
      </c>
      <c r="K15" s="39" t="str">
        <f t="shared" ca="1" si="4"/>
        <v>=IPMT($C$5,K8,$C$6,$C$4)*-1</v>
      </c>
      <c r="L15" s="39" t="str">
        <f t="shared" ca="1" si="4"/>
        <v>=IPMT($C$5,L8,$C$6,$C$4)*-1</v>
      </c>
    </row>
    <row r="16" spans="1:12" x14ac:dyDescent="0.25">
      <c r="C16" s="39" t="str">
        <f ca="1">_xlfn.FORMULATEXT(C11)</f>
        <v>=PPMT($C$5,C8,$C$6,$C$4)*-1</v>
      </c>
      <c r="D16" s="39" t="str">
        <f t="shared" ca="1" si="4"/>
        <v>=PPMT($C$5,D8,$C$6,$C$4)*-1</v>
      </c>
      <c r="E16" s="39" t="str">
        <f t="shared" ca="1" si="4"/>
        <v>=PPMT($C$5,E8,$C$6,$C$4)*-1</v>
      </c>
      <c r="F16" s="39" t="str">
        <f t="shared" ca="1" si="4"/>
        <v>=PPMT($C$5,F8,$C$6,$C$4)*-1</v>
      </c>
      <c r="G16" s="39" t="str">
        <f t="shared" ca="1" si="4"/>
        <v>=PPMT($C$5,G8,$C$6,$C$4)*-1</v>
      </c>
      <c r="H16" s="39" t="str">
        <f t="shared" ca="1" si="4"/>
        <v>=PPMT($C$5,H8,$C$6,$C$4)*-1</v>
      </c>
      <c r="I16" s="39" t="str">
        <f t="shared" ca="1" si="4"/>
        <v>=PPMT($C$5,I8,$C$6,$C$4)*-1</v>
      </c>
      <c r="J16" s="39" t="str">
        <f t="shared" ca="1" si="4"/>
        <v>=PPMT($C$5,J8,$C$6,$C$4)*-1</v>
      </c>
      <c r="K16" s="39" t="str">
        <f t="shared" ca="1" si="4"/>
        <v>=PPMT($C$5,K8,$C$6,$C$4)*-1</v>
      </c>
      <c r="L16" s="39" t="str">
        <f t="shared" ca="1" si="4"/>
        <v>=PPMT($C$5,L8,$C$6,$C$4)*-1</v>
      </c>
    </row>
    <row r="17" spans="3:12" x14ac:dyDescent="0.25">
      <c r="C17" s="39" t="str">
        <f ca="1">_xlfn.FORMULATEXT(C12)</f>
        <v>=SUM(C10:C11)</v>
      </c>
      <c r="D17" s="39" t="str">
        <f t="shared" ca="1" si="4"/>
        <v>=SUM(D10:D11)</v>
      </c>
      <c r="E17" s="39" t="str">
        <f t="shared" ca="1" si="4"/>
        <v>=SUM(E10:E11)</v>
      </c>
      <c r="F17" s="39" t="str">
        <f t="shared" ca="1" si="4"/>
        <v>=SUM(F10:F11)</v>
      </c>
      <c r="G17" s="39" t="str">
        <f t="shared" ca="1" si="4"/>
        <v>=SUM(G10:G11)</v>
      </c>
      <c r="H17" s="39" t="str">
        <f t="shared" ca="1" si="4"/>
        <v>=SUM(H10:H11)</v>
      </c>
      <c r="I17" s="39" t="str">
        <f t="shared" ca="1" si="4"/>
        <v>=SUM(I10:I11)</v>
      </c>
      <c r="J17" s="39" t="str">
        <f t="shared" ca="1" si="4"/>
        <v>=SUM(J10:J11)</v>
      </c>
      <c r="K17" s="39" t="str">
        <f t="shared" ca="1" si="4"/>
        <v>=SUM(K10:K11)</v>
      </c>
      <c r="L17" s="39" t="str">
        <f t="shared" ca="1" si="4"/>
        <v>=SUM(L10:L11)</v>
      </c>
    </row>
  </sheetData>
  <mergeCells count="2">
    <mergeCell ref="A2:B3"/>
    <mergeCell ref="C1:G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DAA6A-62E6-4747-ABDC-344D560929D9}">
  <dimension ref="A1:L16"/>
  <sheetViews>
    <sheetView zoomScale="160" zoomScaleNormal="160" workbookViewId="0">
      <selection activeCell="C14" sqref="C14"/>
    </sheetView>
  </sheetViews>
  <sheetFormatPr defaultRowHeight="15" x14ac:dyDescent="0.25"/>
  <cols>
    <col min="2" max="2" width="19.85546875" customWidth="1"/>
    <col min="3" max="3" width="10.5703125" bestFit="1" customWidth="1"/>
    <col min="4" max="12" width="10.140625" customWidth="1"/>
  </cols>
  <sheetData>
    <row r="1" spans="1:12" x14ac:dyDescent="0.25">
      <c r="A1" s="1" t="s">
        <v>33</v>
      </c>
      <c r="B1" s="1"/>
      <c r="C1" s="1"/>
      <c r="D1" s="79" t="s">
        <v>47</v>
      </c>
      <c r="E1" s="79"/>
      <c r="F1" s="79"/>
      <c r="G1" s="79"/>
      <c r="H1" s="79"/>
      <c r="I1" s="79"/>
      <c r="J1" s="79"/>
      <c r="K1" s="79"/>
      <c r="L1" s="79"/>
    </row>
    <row r="2" spans="1:12" x14ac:dyDescent="0.25">
      <c r="A2" s="2" t="s">
        <v>34</v>
      </c>
      <c r="B2" s="1"/>
      <c r="C2" s="1"/>
      <c r="D2" s="79"/>
      <c r="E2" s="79"/>
      <c r="F2" s="79"/>
      <c r="G2" s="79"/>
      <c r="H2" s="79"/>
      <c r="I2" s="79"/>
      <c r="J2" s="79"/>
      <c r="K2" s="79"/>
      <c r="L2" s="79"/>
    </row>
    <row r="3" spans="1:12" x14ac:dyDescent="0.25">
      <c r="A3" s="21" t="s">
        <v>48</v>
      </c>
      <c r="B3" s="14"/>
      <c r="C3" s="14"/>
      <c r="D3" s="79"/>
      <c r="E3" s="79"/>
      <c r="F3" s="79"/>
      <c r="G3" s="79"/>
      <c r="H3" s="79"/>
      <c r="I3" s="79"/>
      <c r="J3" s="79"/>
      <c r="K3" s="79"/>
      <c r="L3" s="79"/>
    </row>
    <row r="4" spans="1:12" x14ac:dyDescent="0.25">
      <c r="B4" t="s">
        <v>35</v>
      </c>
      <c r="C4" s="25">
        <v>1000000</v>
      </c>
    </row>
    <row r="5" spans="1:12" x14ac:dyDescent="0.25">
      <c r="B5" t="s">
        <v>36</v>
      </c>
      <c r="C5" s="26">
        <v>7.4999999999999997E-2</v>
      </c>
      <c r="E5" s="27"/>
    </row>
    <row r="6" spans="1:12" x14ac:dyDescent="0.25">
      <c r="B6" t="s">
        <v>37</v>
      </c>
      <c r="C6" s="28">
        <v>10</v>
      </c>
    </row>
    <row r="7" spans="1:12" x14ac:dyDescent="0.25">
      <c r="C7" t="str">
        <f ca="1">_xlfn.FORMULATEXT(C8)</f>
        <v>=SEQUENCE(,C6,1,0)</v>
      </c>
    </row>
    <row r="8" spans="1:12" x14ac:dyDescent="0.25">
      <c r="C8" s="45" cm="1">
        <f t="array" ref="C8:L8">_xlfn.SEQUENCE(,C6,1,0)</f>
        <v>1</v>
      </c>
      <c r="D8" s="45">
        <v>1</v>
      </c>
      <c r="E8" s="45">
        <v>1</v>
      </c>
      <c r="F8" s="45">
        <v>1</v>
      </c>
      <c r="G8" s="45">
        <v>1</v>
      </c>
      <c r="H8" s="45">
        <v>1</v>
      </c>
      <c r="I8" s="45">
        <v>1</v>
      </c>
      <c r="J8" s="45">
        <v>1</v>
      </c>
      <c r="K8" s="45">
        <v>1</v>
      </c>
      <c r="L8" s="45">
        <v>1</v>
      </c>
    </row>
    <row r="9" spans="1:12" x14ac:dyDescent="0.25">
      <c r="A9" s="29" t="s">
        <v>38</v>
      </c>
      <c r="B9" s="29" t="s">
        <v>39</v>
      </c>
      <c r="C9" s="29" cm="1">
        <f t="array" ref="C9:L9">_xlfn.SEQUENCE(,C6)</f>
        <v>1</v>
      </c>
      <c r="D9" s="29">
        <v>2</v>
      </c>
      <c r="E9" s="29">
        <v>3</v>
      </c>
      <c r="F9" s="29">
        <v>4</v>
      </c>
      <c r="G9" s="29">
        <v>5</v>
      </c>
      <c r="H9" s="29">
        <v>6</v>
      </c>
      <c r="I9" s="29">
        <v>7</v>
      </c>
      <c r="J9" s="29">
        <v>8</v>
      </c>
      <c r="K9" s="29">
        <v>9</v>
      </c>
      <c r="L9" s="29">
        <v>10</v>
      </c>
    </row>
    <row r="10" spans="1:12" x14ac:dyDescent="0.25">
      <c r="A10" t="s">
        <v>0</v>
      </c>
      <c r="B10" s="16" t="s">
        <v>13</v>
      </c>
      <c r="C10" s="8" cm="1">
        <f t="array" ref="C10:L10">PMT($C$5,$C$6,$C$4)*-_xlfn.ANCHORARRAY(C8)</f>
        <v>145685.9274261223</v>
      </c>
      <c r="D10" s="8">
        <v>145685.9274261223</v>
      </c>
      <c r="E10" s="8">
        <v>145685.9274261223</v>
      </c>
      <c r="F10" s="8">
        <v>145685.9274261223</v>
      </c>
      <c r="G10" s="8">
        <v>145685.9274261223</v>
      </c>
      <c r="H10" s="8">
        <v>145685.9274261223</v>
      </c>
      <c r="I10" s="8">
        <v>145685.9274261223</v>
      </c>
      <c r="J10" s="8">
        <v>145685.9274261223</v>
      </c>
      <c r="K10" s="8">
        <v>145685.9274261223</v>
      </c>
      <c r="L10" s="8">
        <v>145685.9274261223</v>
      </c>
    </row>
    <row r="11" spans="1:12" x14ac:dyDescent="0.25">
      <c r="A11" t="s">
        <v>27</v>
      </c>
      <c r="B11" s="16" t="s">
        <v>40</v>
      </c>
      <c r="C11" s="46" cm="1">
        <f t="array" ref="C11:L11">IPMT(C5,_xlfn.ANCHORARRAY(C9),C6,C4)*-1</f>
        <v>75000</v>
      </c>
      <c r="D11" s="46">
        <v>69698.555443040823</v>
      </c>
      <c r="E11" s="46">
        <v>63999.502544309718</v>
      </c>
      <c r="F11" s="46">
        <v>57873.020678173772</v>
      </c>
      <c r="G11" s="46">
        <v>51287.052672077625</v>
      </c>
      <c r="H11" s="46">
        <v>44207.137065524286</v>
      </c>
      <c r="I11" s="46">
        <v>36596.227788479431</v>
      </c>
      <c r="J11" s="46">
        <v>28414.500315656212</v>
      </c>
      <c r="K11" s="46">
        <v>19619.143282371257</v>
      </c>
      <c r="L11" s="46">
        <v>10164.134471589927</v>
      </c>
    </row>
    <row r="12" spans="1:12" x14ac:dyDescent="0.25">
      <c r="A12" t="s">
        <v>25</v>
      </c>
      <c r="B12" s="16" t="s">
        <v>41</v>
      </c>
      <c r="C12" s="46" cm="1">
        <f t="array" ref="C12:L12">PPMT(C5,_xlfn.ANCHORARRAY(C9),C6,C4)*-1</f>
        <v>70685.927426122318</v>
      </c>
      <c r="D12" s="46">
        <v>75987.371983081481</v>
      </c>
      <c r="E12" s="46">
        <v>81686.424881812593</v>
      </c>
      <c r="F12" s="46">
        <v>87812.906747948538</v>
      </c>
      <c r="G12" s="46">
        <v>94398.874754044678</v>
      </c>
      <c r="H12" s="46">
        <v>101478.79036059802</v>
      </c>
      <c r="I12" s="46">
        <v>109089.69963764287</v>
      </c>
      <c r="J12" s="46">
        <v>117271.42711046609</v>
      </c>
      <c r="K12" s="46">
        <v>126066.78414375107</v>
      </c>
      <c r="L12" s="46">
        <v>135521.79295453237</v>
      </c>
    </row>
    <row r="13" spans="1:12" x14ac:dyDescent="0.25">
      <c r="A13" t="s">
        <v>42</v>
      </c>
      <c r="B13" s="16" t="s">
        <v>13</v>
      </c>
      <c r="C13" s="30">
        <f>SUM(C11:C12)</f>
        <v>145685.9274261223</v>
      </c>
      <c r="D13" s="30">
        <f t="shared" ref="D13:L14" si="0">SUM(D11:D12)</f>
        <v>145685.9274261223</v>
      </c>
      <c r="E13" s="30">
        <f t="shared" si="0"/>
        <v>145685.9274261223</v>
      </c>
      <c r="F13" s="30">
        <f t="shared" si="0"/>
        <v>145685.9274261223</v>
      </c>
      <c r="G13" s="30">
        <f t="shared" si="0"/>
        <v>145685.9274261223</v>
      </c>
      <c r="H13" s="30">
        <f t="shared" si="0"/>
        <v>145685.9274261223</v>
      </c>
      <c r="I13" s="30">
        <f t="shared" si="0"/>
        <v>145685.9274261223</v>
      </c>
      <c r="J13" s="30">
        <f t="shared" si="0"/>
        <v>145685.9274261223</v>
      </c>
      <c r="K13" s="30">
        <f t="shared" si="0"/>
        <v>145685.92742612233</v>
      </c>
      <c r="L13" s="30">
        <f t="shared" si="0"/>
        <v>145685.9274261223</v>
      </c>
    </row>
    <row r="14" spans="1:12" x14ac:dyDescent="0.25">
      <c r="C14" s="31" t="str">
        <f ca="1">_xlfn.FORMULATEXT(C10)</f>
        <v>=PMT($C$5,$C$6,$C$4)*-C8#</v>
      </c>
      <c r="D14" s="31"/>
      <c r="E14" s="31"/>
      <c r="F14" s="31"/>
      <c r="G14" s="31"/>
      <c r="H14" s="31"/>
      <c r="I14" s="31"/>
      <c r="J14" s="31"/>
      <c r="K14" s="31"/>
      <c r="L14" s="31"/>
    </row>
    <row r="15" spans="1:12" x14ac:dyDescent="0.25">
      <c r="C15" s="31" t="str">
        <f ca="1">_xlfn.FORMULATEXT(C11)</f>
        <v>=IPMT(C5,C9#,C6,C4)*-1</v>
      </c>
      <c r="D15" s="31"/>
      <c r="E15" s="31"/>
      <c r="F15" s="31"/>
      <c r="G15" s="31"/>
      <c r="H15" s="31"/>
      <c r="I15" s="31"/>
      <c r="J15" s="31"/>
      <c r="K15" s="31"/>
      <c r="L15" s="31"/>
    </row>
    <row r="16" spans="1:12" x14ac:dyDescent="0.25">
      <c r="C16" s="31" t="str">
        <f ca="1">_xlfn.FORMULATEXT(C12)</f>
        <v>=PPMT(C5,C9#,C6,C4)*-1</v>
      </c>
      <c r="D16" s="31"/>
      <c r="E16" s="31"/>
      <c r="F16" s="31"/>
      <c r="G16" s="31"/>
      <c r="H16" s="31"/>
      <c r="I16" s="31"/>
      <c r="J16" s="31"/>
      <c r="K16" s="31"/>
      <c r="L16" s="31"/>
    </row>
  </sheetData>
  <mergeCells count="1">
    <mergeCell ref="D1:L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9289C-DE09-42AB-AA33-181AC6CB451F}">
  <dimension ref="A1:AM20"/>
  <sheetViews>
    <sheetView topLeftCell="Z2" zoomScale="160" zoomScaleNormal="160" workbookViewId="0">
      <selection activeCell="AJ4" sqref="AJ4"/>
    </sheetView>
  </sheetViews>
  <sheetFormatPr defaultRowHeight="15" x14ac:dyDescent="0.25"/>
  <cols>
    <col min="1" max="1" width="24.140625" bestFit="1" customWidth="1"/>
    <col min="2" max="2" width="27.7109375" customWidth="1"/>
    <col min="3" max="3" width="13.140625" customWidth="1"/>
    <col min="6" max="6" width="26.42578125" bestFit="1" customWidth="1"/>
    <col min="7" max="7" width="13.28515625" bestFit="1" customWidth="1"/>
    <col min="8" max="8" width="11.42578125" bestFit="1" customWidth="1"/>
    <col min="9" max="9" width="15" bestFit="1" customWidth="1"/>
    <col min="10" max="10" width="15.140625" bestFit="1" customWidth="1"/>
    <col min="11" max="11" width="18.7109375" bestFit="1" customWidth="1"/>
    <col min="12" max="12" width="30.7109375" bestFit="1" customWidth="1"/>
    <col min="13" max="13" width="11.5703125" bestFit="1" customWidth="1"/>
    <col min="15" max="15" width="29.7109375" bestFit="1" customWidth="1"/>
    <col min="16" max="16" width="13.28515625" bestFit="1" customWidth="1"/>
    <col min="17" max="17" width="11.42578125" bestFit="1" customWidth="1"/>
    <col min="20" max="20" width="24.42578125" bestFit="1" customWidth="1"/>
    <col min="21" max="22" width="11.5703125" bestFit="1" customWidth="1"/>
    <col min="25" max="25" width="31" bestFit="1" customWidth="1"/>
    <col min="26" max="26" width="13.42578125" bestFit="1" customWidth="1"/>
    <col min="27" max="27" width="11.5703125" bestFit="1" customWidth="1"/>
    <col min="28" max="28" width="10.42578125" bestFit="1" customWidth="1"/>
    <col min="29" max="30" width="10.42578125" customWidth="1"/>
    <col min="34" max="34" width="24.7109375" customWidth="1"/>
    <col min="35" max="35" width="13.28515625" bestFit="1" customWidth="1"/>
    <col min="36" max="36" width="11.42578125" bestFit="1" customWidth="1"/>
  </cols>
  <sheetData>
    <row r="1" spans="1:39" ht="15" customHeight="1" x14ac:dyDescent="0.25">
      <c r="A1" s="1" t="s">
        <v>111</v>
      </c>
      <c r="B1" s="80" t="s">
        <v>146</v>
      </c>
      <c r="C1" s="80"/>
      <c r="D1" s="80"/>
      <c r="F1" s="1" t="s">
        <v>113</v>
      </c>
      <c r="G1" s="80" t="s">
        <v>147</v>
      </c>
      <c r="H1" s="80"/>
      <c r="I1" s="80"/>
      <c r="J1" s="80"/>
      <c r="K1" s="80"/>
      <c r="L1" s="87"/>
      <c r="M1" s="87"/>
      <c r="O1" s="1" t="s">
        <v>115</v>
      </c>
      <c r="P1" s="1"/>
      <c r="Q1" s="1"/>
      <c r="Y1" s="1" t="s">
        <v>117</v>
      </c>
      <c r="Z1" s="11" t="s">
        <v>149</v>
      </c>
      <c r="AA1" s="11"/>
      <c r="AB1" s="11"/>
      <c r="AC1" s="11"/>
      <c r="AD1" s="11"/>
      <c r="AE1" s="11"/>
      <c r="AF1" s="11"/>
      <c r="AH1" s="1" t="s">
        <v>119</v>
      </c>
      <c r="AI1" s="80" t="s">
        <v>150</v>
      </c>
      <c r="AJ1" s="80"/>
      <c r="AK1" s="80"/>
      <c r="AL1" s="80"/>
      <c r="AM1" s="80"/>
    </row>
    <row r="2" spans="1:39" ht="96.75" customHeight="1" x14ac:dyDescent="0.25">
      <c r="A2" s="2" t="s">
        <v>127</v>
      </c>
      <c r="B2" s="80"/>
      <c r="C2" s="80"/>
      <c r="D2" s="80"/>
      <c r="F2" s="69" t="s">
        <v>133</v>
      </c>
      <c r="G2" s="80"/>
      <c r="H2" s="80"/>
      <c r="I2" s="80"/>
      <c r="J2" s="80"/>
      <c r="K2" s="80"/>
      <c r="L2" s="87"/>
      <c r="M2" s="87"/>
      <c r="O2" s="69" t="s">
        <v>136</v>
      </c>
      <c r="P2" s="79" t="s">
        <v>148</v>
      </c>
      <c r="Q2" s="79"/>
      <c r="R2" s="79"/>
      <c r="S2" s="79"/>
      <c r="T2" s="79"/>
      <c r="U2" s="79"/>
      <c r="V2" s="79"/>
      <c r="Y2" s="69" t="s">
        <v>139</v>
      </c>
      <c r="Z2" s="11"/>
      <c r="AA2" s="11"/>
      <c r="AB2" s="11"/>
      <c r="AC2" s="11"/>
      <c r="AD2" s="11"/>
      <c r="AE2" s="11"/>
      <c r="AF2" s="11"/>
      <c r="AH2" s="69" t="s">
        <v>141</v>
      </c>
      <c r="AI2" s="80"/>
      <c r="AJ2" s="80"/>
      <c r="AK2" s="80"/>
      <c r="AL2" s="80"/>
      <c r="AM2" s="80"/>
    </row>
    <row r="3" spans="1:39" x14ac:dyDescent="0.25">
      <c r="A3" s="20" t="s">
        <v>122</v>
      </c>
      <c r="F3" s="21" t="s">
        <v>123</v>
      </c>
      <c r="O3" s="21" t="s">
        <v>124</v>
      </c>
      <c r="Y3" s="20" t="s">
        <v>125</v>
      </c>
      <c r="AH3" s="21" t="s">
        <v>145</v>
      </c>
      <c r="AI3" s="14"/>
      <c r="AJ3" s="14"/>
      <c r="AK3" s="14"/>
      <c r="AL3" s="14"/>
    </row>
    <row r="4" spans="1:39" x14ac:dyDescent="0.25">
      <c r="A4" t="s">
        <v>103</v>
      </c>
      <c r="B4" t="s">
        <v>128</v>
      </c>
      <c r="C4" s="76">
        <v>120000</v>
      </c>
      <c r="F4" t="s">
        <v>103</v>
      </c>
      <c r="G4" t="s">
        <v>128</v>
      </c>
      <c r="H4" s="76">
        <v>12000</v>
      </c>
      <c r="O4" t="s">
        <v>103</v>
      </c>
      <c r="P4" t="s">
        <v>128</v>
      </c>
      <c r="Q4" s="83">
        <v>12000</v>
      </c>
      <c r="Y4" t="s">
        <v>103</v>
      </c>
      <c r="Z4" t="s">
        <v>128</v>
      </c>
      <c r="AA4" s="83">
        <v>12000</v>
      </c>
      <c r="AH4" t="s">
        <v>103</v>
      </c>
      <c r="AI4" t="s">
        <v>128</v>
      </c>
      <c r="AJ4" s="83">
        <v>12000</v>
      </c>
    </row>
    <row r="5" spans="1:39" x14ac:dyDescent="0.25">
      <c r="A5" t="s">
        <v>105</v>
      </c>
      <c r="B5" t="s">
        <v>129</v>
      </c>
      <c r="C5" s="12">
        <v>15000</v>
      </c>
      <c r="F5" t="s">
        <v>105</v>
      </c>
      <c r="G5" t="s">
        <v>129</v>
      </c>
      <c r="H5" s="12">
        <v>1500</v>
      </c>
      <c r="O5" t="s">
        <v>105</v>
      </c>
      <c r="P5" t="s">
        <v>129</v>
      </c>
      <c r="Q5" s="83">
        <v>1500</v>
      </c>
      <c r="Y5" t="s">
        <v>105</v>
      </c>
      <c r="Z5" t="s">
        <v>129</v>
      </c>
      <c r="AA5" s="83">
        <v>1500</v>
      </c>
      <c r="AH5" t="s">
        <v>105</v>
      </c>
      <c r="AI5" t="s">
        <v>129</v>
      </c>
      <c r="AJ5" s="83">
        <v>1500</v>
      </c>
    </row>
    <row r="6" spans="1:39" x14ac:dyDescent="0.25">
      <c r="A6" t="s">
        <v>107</v>
      </c>
      <c r="B6" t="s">
        <v>130</v>
      </c>
      <c r="C6" s="5">
        <v>8</v>
      </c>
      <c r="F6" t="s">
        <v>107</v>
      </c>
      <c r="G6" t="s">
        <v>130</v>
      </c>
      <c r="H6" s="5">
        <v>10</v>
      </c>
      <c r="O6" t="s">
        <v>107</v>
      </c>
      <c r="P6" t="s">
        <v>130</v>
      </c>
      <c r="Q6" s="5">
        <v>8</v>
      </c>
      <c r="R6" s="74"/>
      <c r="S6" s="74"/>
      <c r="Y6" t="s">
        <v>107</v>
      </c>
      <c r="Z6" t="s">
        <v>130</v>
      </c>
      <c r="AA6" s="5">
        <v>8</v>
      </c>
      <c r="AH6" t="s">
        <v>107</v>
      </c>
      <c r="AI6" t="s">
        <v>130</v>
      </c>
      <c r="AJ6" s="5">
        <v>8</v>
      </c>
    </row>
    <row r="7" spans="1:39" x14ac:dyDescent="0.25">
      <c r="AH7" t="s">
        <v>142</v>
      </c>
      <c r="AJ7" s="5">
        <v>2</v>
      </c>
    </row>
    <row r="8" spans="1:39" ht="45" x14ac:dyDescent="0.25">
      <c r="B8" t="s">
        <v>131</v>
      </c>
      <c r="C8" s="13">
        <f>SLN(C4,C5,C6)</f>
        <v>13125</v>
      </c>
      <c r="D8" t="str">
        <f ca="1">_xlfn.FORMULATEXT(C8)</f>
        <v>=SLN(C4,C5,C6)</v>
      </c>
      <c r="F8" s="70"/>
      <c r="G8" s="71"/>
      <c r="H8" s="71"/>
      <c r="I8" s="72"/>
      <c r="O8" s="3" t="s">
        <v>137</v>
      </c>
      <c r="T8" s="3" t="s">
        <v>138</v>
      </c>
      <c r="Y8" s="29" t="s">
        <v>134</v>
      </c>
      <c r="Z8" s="78" t="s">
        <v>114</v>
      </c>
      <c r="AA8" s="78" t="s">
        <v>116</v>
      </c>
      <c r="AB8" s="78" t="s">
        <v>140</v>
      </c>
      <c r="AC8" s="78"/>
      <c r="AD8" s="78"/>
      <c r="AH8" t="s">
        <v>143</v>
      </c>
      <c r="AJ8" s="5" t="b">
        <v>1</v>
      </c>
    </row>
    <row r="9" spans="1:39" ht="30" x14ac:dyDescent="0.25">
      <c r="B9" t="s">
        <v>132</v>
      </c>
      <c r="C9" s="13">
        <f>SLN(C4,C5,C6*12)</f>
        <v>1093.75</v>
      </c>
      <c r="D9" t="str">
        <f ca="1">_xlfn.FORMULATEXT(C9)</f>
        <v>=SLN(C4,C5,C6*12)</v>
      </c>
      <c r="F9" s="73" t="s">
        <v>134</v>
      </c>
      <c r="G9" s="73" t="s">
        <v>113</v>
      </c>
      <c r="H9" s="73" t="s">
        <v>135</v>
      </c>
      <c r="I9" s="73" t="s">
        <v>114</v>
      </c>
      <c r="O9" s="29" t="s">
        <v>134</v>
      </c>
      <c r="P9" s="78" t="s">
        <v>114</v>
      </c>
      <c r="Q9" s="78" t="s">
        <v>116</v>
      </c>
      <c r="T9" s="29" t="s">
        <v>134</v>
      </c>
      <c r="U9" s="78" t="s">
        <v>114</v>
      </c>
      <c r="V9" s="78" t="s">
        <v>116</v>
      </c>
      <c r="Y9" s="73"/>
      <c r="Z9" s="73" t="s">
        <v>113</v>
      </c>
      <c r="AA9" s="73" t="s">
        <v>115</v>
      </c>
      <c r="AB9" s="73" t="s">
        <v>117</v>
      </c>
      <c r="AC9" s="73"/>
      <c r="AD9" s="73"/>
    </row>
    <row r="10" spans="1:39" ht="45" x14ac:dyDescent="0.25">
      <c r="F10" cm="1">
        <f t="array" ref="F10:F19">_xlfn.SEQUENCE(H6)</f>
        <v>1</v>
      </c>
      <c r="G10" s="77" cm="1">
        <f t="array" ref="G10:G19">DB(H4,H5,H6,_xlfn.ANCHORARRAY(F10))</f>
        <v>2256</v>
      </c>
      <c r="H10" s="77" cm="1">
        <f t="array" ref="H10:H19">IF(H6=_xlfn.ANCHORARRAY(F10),H4-H5-SUM(_xlfn.ANCHORARRAY(G10)),0)</f>
        <v>0</v>
      </c>
      <c r="I10" s="77" cm="1">
        <f t="array" ref="I10:I19">_xlfn.ANCHORARRAY(G10)+_xlfn.ANCHORARRAY(H10)</f>
        <v>2256</v>
      </c>
      <c r="J10" s="16" t="str">
        <f ca="1">_xlfn.FORMULATEXT(F10)</f>
        <v>=SEQUENCE(H6)</v>
      </c>
      <c r="K10" s="16" t="str">
        <f ca="1">_xlfn.FORMULATEXT(G10)</f>
        <v>=DB(H4,H5,H6,F10#)</v>
      </c>
      <c r="L10" s="16" t="str">
        <f ca="1">_xlfn.FORMULATEXT(H10)</f>
        <v>=IF(H6=F10#,H4-H5-SUM(G10#),0)</v>
      </c>
      <c r="M10" s="16" t="str">
        <f ca="1">_xlfn.FORMULATEXT(I10)</f>
        <v>=G10#+H10#</v>
      </c>
      <c r="O10" s="73"/>
      <c r="P10" s="73" t="s">
        <v>113</v>
      </c>
      <c r="Q10" s="73" t="s">
        <v>115</v>
      </c>
      <c r="T10" s="73"/>
      <c r="U10" s="73" t="s">
        <v>113</v>
      </c>
      <c r="V10" s="73" t="s">
        <v>115</v>
      </c>
      <c r="Y10" cm="1">
        <f t="array" ref="Y10:Y17">_xlfn.SEQUENCE(AA6)</f>
        <v>1</v>
      </c>
      <c r="Z10" s="84" cm="1">
        <f t="array" ref="Z10:Z17">DB($C$4,$C$5,$C$6,_xlfn.ANCHORARRAY(Y10))</f>
        <v>27480</v>
      </c>
      <c r="AA10" s="84" cm="1">
        <f t="array" ref="AA10:AA17">DDB($C$4,$C$5,$C$6,_xlfn.ANCHORARRAY(Y10))</f>
        <v>30000</v>
      </c>
      <c r="AB10" s="84" cm="1">
        <f t="array" ref="AB10:AB17">SYD(AA4,AA5,AA6,_xlfn.ANCHORARRAY(Y10))</f>
        <v>2333.3333333333335</v>
      </c>
      <c r="AC10" s="84" t="str">
        <f ca="1">_xlfn.FORMULATEXT(Y10)</f>
        <v>=SEQUENCE(AA6)</v>
      </c>
      <c r="AD10" s="84" t="str">
        <f ca="1">_xlfn.FORMULATEXT(Z10)</f>
        <v>=DB($C$4,$C$5,$C$6,Y10#)</v>
      </c>
      <c r="AE10" s="84" t="str">
        <f ca="1">_xlfn.FORMULATEXT(AA10)</f>
        <v>=DDB($C$4,$C$5,$C$6,Y10#)</v>
      </c>
      <c r="AF10" s="84" t="str">
        <f ca="1">_xlfn.FORMULATEXT(AB10)</f>
        <v>=SYD(AA4,AA5,AA6,Y10#)</v>
      </c>
      <c r="AH10" s="29" t="s">
        <v>134</v>
      </c>
      <c r="AI10" s="78" t="s">
        <v>144</v>
      </c>
      <c r="AJ10" s="78" t="s">
        <v>120</v>
      </c>
    </row>
    <row r="11" spans="1:39" x14ac:dyDescent="0.25">
      <c r="F11">
        <v>2</v>
      </c>
      <c r="G11" s="77">
        <v>1831.8720000000001</v>
      </c>
      <c r="H11" s="77">
        <v>0</v>
      </c>
      <c r="I11" s="77">
        <v>1831.8720000000001</v>
      </c>
      <c r="O11" cm="1">
        <f t="array" ref="O11:O18">_xlfn.SEQUENCE(Q6)</f>
        <v>1</v>
      </c>
      <c r="P11" s="84" cm="1">
        <f t="array" ref="P11:P18">DB(Q4,Q5,Q6,_xlfn.ANCHORARRAY(O11))</f>
        <v>2748</v>
      </c>
      <c r="Q11" s="84" cm="1">
        <f t="array" ref="Q11:Q18">DDB(Q4,Q5,Q6,_xlfn.ANCHORARRAY(O11))</f>
        <v>3000</v>
      </c>
      <c r="R11" s="74" t="str">
        <f ca="1">_xlfn.FORMULATEXT(P11)</f>
        <v>=DB(Q4,Q5,Q6,O11#)</v>
      </c>
      <c r="S11" s="74" t="str">
        <f ca="1">_xlfn.FORMULATEXT(Q11)</f>
        <v>=DDB(Q4,Q5,Q6,O11#)</v>
      </c>
      <c r="T11">
        <v>1</v>
      </c>
      <c r="U11" s="85">
        <f>DB($C$4,$C$5,$C$6,T11)</f>
        <v>27480</v>
      </c>
      <c r="V11" s="85">
        <f>DDB($C$4,$C$5,$C$6,T11)</f>
        <v>30000</v>
      </c>
      <c r="Y11">
        <v>2</v>
      </c>
      <c r="Z11" s="84">
        <v>21187.08</v>
      </c>
      <c r="AA11" s="84">
        <v>22500</v>
      </c>
      <c r="AB11" s="84">
        <v>2041.6666666666667</v>
      </c>
      <c r="AC11" s="84"/>
      <c r="AD11" s="84"/>
      <c r="AH11" s="73">
        <v>0</v>
      </c>
      <c r="AI11" s="82" t="s">
        <v>115</v>
      </c>
      <c r="AJ11" s="82" t="s">
        <v>119</v>
      </c>
    </row>
    <row r="12" spans="1:39" x14ac:dyDescent="0.25">
      <c r="F12">
        <v>3</v>
      </c>
      <c r="G12" s="77">
        <v>1487.4800639999999</v>
      </c>
      <c r="H12" s="77">
        <v>0</v>
      </c>
      <c r="I12" s="77">
        <v>1487.4800639999999</v>
      </c>
      <c r="O12">
        <v>2</v>
      </c>
      <c r="P12" s="84">
        <v>2118.7080000000001</v>
      </c>
      <c r="Q12" s="84">
        <v>2250</v>
      </c>
      <c r="R12" s="74"/>
      <c r="S12" s="74"/>
      <c r="T12">
        <f>T11+1</f>
        <v>2</v>
      </c>
      <c r="U12" s="85">
        <f t="shared" ref="U12:U18" si="0">DB($C$4,$C$5,$C$6,T12)</f>
        <v>21187.08</v>
      </c>
      <c r="V12" s="85">
        <f t="shared" ref="V12:V18" si="1">DDB($C$4,$C$5,$C$6,T12)</f>
        <v>22500</v>
      </c>
      <c r="Y12">
        <v>3</v>
      </c>
      <c r="Z12" s="84">
        <v>16335.23868</v>
      </c>
      <c r="AA12" s="84">
        <v>16875</v>
      </c>
      <c r="AB12" s="84">
        <v>1750</v>
      </c>
      <c r="AC12" s="84"/>
      <c r="AD12" s="84"/>
      <c r="AH12" cm="1">
        <f t="array" ref="AH12:AH19">_xlfn.SEQUENCE(AJ6)</f>
        <v>1</v>
      </c>
      <c r="AI12" s="84">
        <f t="shared" ref="AI12:AI19" si="2">DDB($C$4,$C$5,$C$6,AH12)</f>
        <v>30000</v>
      </c>
      <c r="AJ12" s="86">
        <f>VDB($C$4,$C$5,$C$6,AH11,AH12,$C$7,$C$8)</f>
        <v>0</v>
      </c>
      <c r="AK12" t="str">
        <f ca="1">_xlfn.FORMULATEXT(AH12)</f>
        <v>=SEQUENCE(AJ6)</v>
      </c>
      <c r="AL12" t="str">
        <f ca="1">_xlfn.FORMULATEXT(AI12)</f>
        <v>=DDB($C$4,$C$5,$C$6,AH12)</v>
      </c>
    </row>
    <row r="13" spans="1:39" x14ac:dyDescent="0.25">
      <c r="F13">
        <v>4</v>
      </c>
      <c r="G13" s="77">
        <v>1207.833811968</v>
      </c>
      <c r="H13" s="77">
        <v>0</v>
      </c>
      <c r="I13" s="77">
        <v>1207.833811968</v>
      </c>
      <c r="O13">
        <v>3</v>
      </c>
      <c r="P13" s="84">
        <v>1633.523868</v>
      </c>
      <c r="Q13" s="84">
        <v>1687.5</v>
      </c>
      <c r="R13" s="74"/>
      <c r="S13" s="74"/>
      <c r="T13">
        <f t="shared" ref="T13:T18" si="3">T12+1</f>
        <v>3</v>
      </c>
      <c r="U13" s="85">
        <f t="shared" si="0"/>
        <v>16335.23868</v>
      </c>
      <c r="V13" s="85">
        <f t="shared" si="1"/>
        <v>16875</v>
      </c>
      <c r="Y13">
        <v>4</v>
      </c>
      <c r="Z13" s="84">
        <v>12594.46902228</v>
      </c>
      <c r="AA13" s="84">
        <v>12656.25</v>
      </c>
      <c r="AB13" s="84">
        <v>1458.3333333333333</v>
      </c>
      <c r="AC13" s="84"/>
      <c r="AD13" s="84"/>
      <c r="AH13">
        <v>2</v>
      </c>
      <c r="AI13" s="84">
        <f t="shared" si="2"/>
        <v>22500</v>
      </c>
      <c r="AJ13" s="86">
        <f t="shared" ref="AJ13:AJ19" si="4">VDB($C$4,$C$5,$C$6,AH12,AH13,$C$7,$C$8)</f>
        <v>0</v>
      </c>
    </row>
    <row r="14" spans="1:39" x14ac:dyDescent="0.25">
      <c r="F14">
        <v>5</v>
      </c>
      <c r="G14" s="77">
        <v>980.76105531801591</v>
      </c>
      <c r="H14" s="77">
        <v>0</v>
      </c>
      <c r="I14" s="77">
        <v>980.76105531801591</v>
      </c>
      <c r="O14">
        <v>4</v>
      </c>
      <c r="P14" s="84">
        <v>1259.4469022279998</v>
      </c>
      <c r="Q14" s="84">
        <v>1265.625</v>
      </c>
      <c r="R14" s="74"/>
      <c r="S14" s="74"/>
      <c r="T14">
        <f t="shared" si="3"/>
        <v>4</v>
      </c>
      <c r="U14" s="85">
        <f t="shared" si="0"/>
        <v>12594.46902228</v>
      </c>
      <c r="V14" s="85">
        <f t="shared" si="1"/>
        <v>12656.25</v>
      </c>
      <c r="Y14">
        <v>5</v>
      </c>
      <c r="Z14" s="84">
        <v>9710.3356161778793</v>
      </c>
      <c r="AA14" s="84">
        <v>9492.1875</v>
      </c>
      <c r="AB14" s="84">
        <v>1166.6666666666667</v>
      </c>
      <c r="AC14" s="84"/>
      <c r="AD14" s="84"/>
      <c r="AH14">
        <v>3</v>
      </c>
      <c r="AI14" s="84">
        <f t="shared" si="2"/>
        <v>16875</v>
      </c>
      <c r="AJ14" s="86">
        <f t="shared" si="4"/>
        <v>0</v>
      </c>
    </row>
    <row r="15" spans="1:39" x14ac:dyDescent="0.25">
      <c r="F15">
        <v>6</v>
      </c>
      <c r="G15" s="77">
        <v>796.37797691822891</v>
      </c>
      <c r="H15" s="77">
        <v>0</v>
      </c>
      <c r="I15" s="77">
        <v>796.37797691822891</v>
      </c>
      <c r="O15">
        <v>5</v>
      </c>
      <c r="P15" s="84">
        <v>971.03356161778788</v>
      </c>
      <c r="Q15" s="84">
        <v>949.21875</v>
      </c>
      <c r="R15" s="74"/>
      <c r="S15" s="74"/>
      <c r="T15">
        <f t="shared" si="3"/>
        <v>5</v>
      </c>
      <c r="U15" s="85">
        <f t="shared" si="0"/>
        <v>9710.3356161778793</v>
      </c>
      <c r="V15" s="85">
        <f t="shared" si="1"/>
        <v>9492.1875</v>
      </c>
      <c r="Y15">
        <v>6</v>
      </c>
      <c r="Z15" s="84">
        <v>7486.6687600731457</v>
      </c>
      <c r="AA15" s="84">
        <v>7119.140625</v>
      </c>
      <c r="AB15" s="84">
        <v>875</v>
      </c>
      <c r="AC15" s="84"/>
      <c r="AD15" s="84"/>
      <c r="AH15">
        <v>4</v>
      </c>
      <c r="AI15" s="84">
        <f t="shared" si="2"/>
        <v>12656.25</v>
      </c>
      <c r="AJ15" s="86">
        <f t="shared" si="4"/>
        <v>0</v>
      </c>
    </row>
    <row r="16" spans="1:39" x14ac:dyDescent="0.25">
      <c r="F16">
        <v>7</v>
      </c>
      <c r="G16" s="77">
        <v>646.65891725760184</v>
      </c>
      <c r="H16" s="77">
        <v>0</v>
      </c>
      <c r="I16" s="77">
        <v>646.65891725760184</v>
      </c>
      <c r="O16">
        <v>6</v>
      </c>
      <c r="P16" s="84">
        <v>748.66687600731439</v>
      </c>
      <c r="Q16" s="84">
        <v>711.9140625</v>
      </c>
      <c r="R16" s="74"/>
      <c r="S16" s="74"/>
      <c r="T16">
        <f t="shared" si="3"/>
        <v>6</v>
      </c>
      <c r="U16" s="85">
        <f t="shared" si="0"/>
        <v>7486.6687600731457</v>
      </c>
      <c r="V16" s="85">
        <f t="shared" si="1"/>
        <v>7119.140625</v>
      </c>
      <c r="Y16">
        <v>7</v>
      </c>
      <c r="Z16" s="84">
        <v>5772.2216140163946</v>
      </c>
      <c r="AA16" s="84">
        <v>5339.35546875</v>
      </c>
      <c r="AB16" s="84">
        <v>583.33333333333337</v>
      </c>
      <c r="AC16" s="84"/>
      <c r="AD16" s="84"/>
      <c r="AH16">
        <v>5</v>
      </c>
      <c r="AI16" s="84">
        <f t="shared" si="2"/>
        <v>9492.1875</v>
      </c>
      <c r="AJ16" s="86">
        <f t="shared" si="4"/>
        <v>0</v>
      </c>
    </row>
    <row r="17" spans="6:36" x14ac:dyDescent="0.25">
      <c r="F17">
        <v>8</v>
      </c>
      <c r="G17" s="77">
        <v>525.08704081317273</v>
      </c>
      <c r="H17" s="77">
        <v>0</v>
      </c>
      <c r="I17" s="77">
        <v>525.08704081317273</v>
      </c>
      <c r="O17">
        <v>7</v>
      </c>
      <c r="P17" s="84">
        <v>577.22216140163937</v>
      </c>
      <c r="Q17" s="84">
        <v>533.935546875</v>
      </c>
      <c r="R17" s="74"/>
      <c r="S17" s="74"/>
      <c r="T17">
        <f t="shared" si="3"/>
        <v>7</v>
      </c>
      <c r="U17" s="85">
        <f t="shared" si="0"/>
        <v>5772.2216140163946</v>
      </c>
      <c r="V17" s="85">
        <f t="shared" si="1"/>
        <v>5339.35546875</v>
      </c>
      <c r="Y17">
        <v>8</v>
      </c>
      <c r="Z17" s="84">
        <v>4450.3828644066407</v>
      </c>
      <c r="AA17" s="84">
        <v>1018.06640625</v>
      </c>
      <c r="AB17" s="84">
        <v>291.66666666666669</v>
      </c>
      <c r="AC17" s="84"/>
      <c r="AD17" s="84"/>
      <c r="AH17">
        <v>6</v>
      </c>
      <c r="AI17" s="84">
        <f t="shared" si="2"/>
        <v>7119.140625</v>
      </c>
      <c r="AJ17" s="86">
        <f t="shared" si="4"/>
        <v>0</v>
      </c>
    </row>
    <row r="18" spans="6:36" x14ac:dyDescent="0.25">
      <c r="F18">
        <v>9</v>
      </c>
      <c r="G18">
        <v>426.37067714029627</v>
      </c>
      <c r="H18">
        <v>0</v>
      </c>
      <c r="I18">
        <v>426.37067714029627</v>
      </c>
      <c r="O18">
        <v>8</v>
      </c>
      <c r="P18" s="84">
        <v>445.03828644066397</v>
      </c>
      <c r="Q18" s="84">
        <v>101.806640625</v>
      </c>
      <c r="R18" s="74"/>
      <c r="S18" s="74"/>
      <c r="T18">
        <f t="shared" si="3"/>
        <v>8</v>
      </c>
      <c r="U18" s="85">
        <f t="shared" si="0"/>
        <v>4450.3828644066407</v>
      </c>
      <c r="V18" s="85">
        <f t="shared" si="1"/>
        <v>1018.06640625</v>
      </c>
      <c r="Z18" s="74"/>
      <c r="AA18" s="74"/>
      <c r="AH18">
        <v>7</v>
      </c>
      <c r="AI18" s="84">
        <f t="shared" si="2"/>
        <v>5339.35546875</v>
      </c>
      <c r="AJ18" s="86">
        <f t="shared" si="4"/>
        <v>0</v>
      </c>
    </row>
    <row r="19" spans="6:36" x14ac:dyDescent="0.25">
      <c r="F19">
        <v>10</v>
      </c>
      <c r="G19">
        <v>346.21298983792059</v>
      </c>
      <c r="H19">
        <v>-4.6545332532368775</v>
      </c>
      <c r="I19">
        <v>341.55845658468371</v>
      </c>
      <c r="AH19">
        <v>8</v>
      </c>
      <c r="AI19" s="84">
        <f t="shared" si="2"/>
        <v>1018.06640625</v>
      </c>
      <c r="AJ19" s="86">
        <f t="shared" si="4"/>
        <v>0</v>
      </c>
    </row>
    <row r="20" spans="6:36" x14ac:dyDescent="0.25">
      <c r="AJ20" s="74"/>
    </row>
  </sheetData>
  <mergeCells count="5">
    <mergeCell ref="AI1:AM2"/>
    <mergeCell ref="B1:D2"/>
    <mergeCell ref="G1:K2"/>
    <mergeCell ref="P2:V2"/>
    <mergeCell ref="Z1:AF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7A4F-9157-4167-9942-C79B2B347109}">
  <dimension ref="A1:N20"/>
  <sheetViews>
    <sheetView workbookViewId="0">
      <selection activeCell="G18" sqref="G18"/>
    </sheetView>
  </sheetViews>
  <sheetFormatPr defaultRowHeight="15" x14ac:dyDescent="0.25"/>
  <cols>
    <col min="2" max="2" width="45.7109375" bestFit="1" customWidth="1"/>
    <col min="3" max="3" width="29.7109375" customWidth="1"/>
    <col min="4" max="13" width="12.140625" customWidth="1"/>
    <col min="14" max="14" width="11.85546875" bestFit="1" customWidth="1"/>
    <col min="258" max="258" width="28.85546875" customWidth="1"/>
    <col min="259" max="268" width="12.140625" customWidth="1"/>
    <col min="269" max="269" width="11.85546875" bestFit="1" customWidth="1"/>
    <col min="271" max="271" width="10.140625" bestFit="1" customWidth="1"/>
    <col min="514" max="514" width="28.85546875" customWidth="1"/>
    <col min="515" max="524" width="12.140625" customWidth="1"/>
    <col min="525" max="525" width="11.85546875" bestFit="1" customWidth="1"/>
    <col min="527" max="527" width="10.140625" bestFit="1" customWidth="1"/>
    <col min="770" max="770" width="28.85546875" customWidth="1"/>
    <col min="771" max="780" width="12.140625" customWidth="1"/>
    <col min="781" max="781" width="11.85546875" bestFit="1" customWidth="1"/>
    <col min="783" max="783" width="10.140625" bestFit="1" customWidth="1"/>
    <col min="1026" max="1026" width="28.85546875" customWidth="1"/>
    <col min="1027" max="1036" width="12.140625" customWidth="1"/>
    <col min="1037" max="1037" width="11.85546875" bestFit="1" customWidth="1"/>
    <col min="1039" max="1039" width="10.140625" bestFit="1" customWidth="1"/>
    <col min="1282" max="1282" width="28.85546875" customWidth="1"/>
    <col min="1283" max="1292" width="12.140625" customWidth="1"/>
    <col min="1293" max="1293" width="11.85546875" bestFit="1" customWidth="1"/>
    <col min="1295" max="1295" width="10.140625" bestFit="1" customWidth="1"/>
    <col min="1538" max="1538" width="28.85546875" customWidth="1"/>
    <col min="1539" max="1548" width="12.140625" customWidth="1"/>
    <col min="1549" max="1549" width="11.85546875" bestFit="1" customWidth="1"/>
    <col min="1551" max="1551" width="10.140625" bestFit="1" customWidth="1"/>
    <col min="1794" max="1794" width="28.85546875" customWidth="1"/>
    <col min="1795" max="1804" width="12.140625" customWidth="1"/>
    <col min="1805" max="1805" width="11.85546875" bestFit="1" customWidth="1"/>
    <col min="1807" max="1807" width="10.140625" bestFit="1" customWidth="1"/>
    <col min="2050" max="2050" width="28.85546875" customWidth="1"/>
    <col min="2051" max="2060" width="12.140625" customWidth="1"/>
    <col min="2061" max="2061" width="11.85546875" bestFit="1" customWidth="1"/>
    <col min="2063" max="2063" width="10.140625" bestFit="1" customWidth="1"/>
    <col min="2306" max="2306" width="28.85546875" customWidth="1"/>
    <col min="2307" max="2316" width="12.140625" customWidth="1"/>
    <col min="2317" max="2317" width="11.85546875" bestFit="1" customWidth="1"/>
    <col min="2319" max="2319" width="10.140625" bestFit="1" customWidth="1"/>
    <col min="2562" max="2562" width="28.85546875" customWidth="1"/>
    <col min="2563" max="2572" width="12.140625" customWidth="1"/>
    <col min="2573" max="2573" width="11.85546875" bestFit="1" customWidth="1"/>
    <col min="2575" max="2575" width="10.140625" bestFit="1" customWidth="1"/>
    <col min="2818" max="2818" width="28.85546875" customWidth="1"/>
    <col min="2819" max="2828" width="12.140625" customWidth="1"/>
    <col min="2829" max="2829" width="11.85546875" bestFit="1" customWidth="1"/>
    <col min="2831" max="2831" width="10.140625" bestFit="1" customWidth="1"/>
    <col min="3074" max="3074" width="28.85546875" customWidth="1"/>
    <col min="3075" max="3084" width="12.140625" customWidth="1"/>
    <col min="3085" max="3085" width="11.85546875" bestFit="1" customWidth="1"/>
    <col min="3087" max="3087" width="10.140625" bestFit="1" customWidth="1"/>
    <col min="3330" max="3330" width="28.85546875" customWidth="1"/>
    <col min="3331" max="3340" width="12.140625" customWidth="1"/>
    <col min="3341" max="3341" width="11.85546875" bestFit="1" customWidth="1"/>
    <col min="3343" max="3343" width="10.140625" bestFit="1" customWidth="1"/>
    <col min="3586" max="3586" width="28.85546875" customWidth="1"/>
    <col min="3587" max="3596" width="12.140625" customWidth="1"/>
    <col min="3597" max="3597" width="11.85546875" bestFit="1" customWidth="1"/>
    <col min="3599" max="3599" width="10.140625" bestFit="1" customWidth="1"/>
    <col min="3842" max="3842" width="28.85546875" customWidth="1"/>
    <col min="3843" max="3852" width="12.140625" customWidth="1"/>
    <col min="3853" max="3853" width="11.85546875" bestFit="1" customWidth="1"/>
    <col min="3855" max="3855" width="10.140625" bestFit="1" customWidth="1"/>
    <col min="4098" max="4098" width="28.85546875" customWidth="1"/>
    <col min="4099" max="4108" width="12.140625" customWidth="1"/>
    <col min="4109" max="4109" width="11.85546875" bestFit="1" customWidth="1"/>
    <col min="4111" max="4111" width="10.140625" bestFit="1" customWidth="1"/>
    <col min="4354" max="4354" width="28.85546875" customWidth="1"/>
    <col min="4355" max="4364" width="12.140625" customWidth="1"/>
    <col min="4365" max="4365" width="11.85546875" bestFit="1" customWidth="1"/>
    <col min="4367" max="4367" width="10.140625" bestFit="1" customWidth="1"/>
    <col min="4610" max="4610" width="28.85546875" customWidth="1"/>
    <col min="4611" max="4620" width="12.140625" customWidth="1"/>
    <col min="4621" max="4621" width="11.85546875" bestFit="1" customWidth="1"/>
    <col min="4623" max="4623" width="10.140625" bestFit="1" customWidth="1"/>
    <col min="4866" max="4866" width="28.85546875" customWidth="1"/>
    <col min="4867" max="4876" width="12.140625" customWidth="1"/>
    <col min="4877" max="4877" width="11.85546875" bestFit="1" customWidth="1"/>
    <col min="4879" max="4879" width="10.140625" bestFit="1" customWidth="1"/>
    <col min="5122" max="5122" width="28.85546875" customWidth="1"/>
    <col min="5123" max="5132" width="12.140625" customWidth="1"/>
    <col min="5133" max="5133" width="11.85546875" bestFit="1" customWidth="1"/>
    <col min="5135" max="5135" width="10.140625" bestFit="1" customWidth="1"/>
    <col min="5378" max="5378" width="28.85546875" customWidth="1"/>
    <col min="5379" max="5388" width="12.140625" customWidth="1"/>
    <col min="5389" max="5389" width="11.85546875" bestFit="1" customWidth="1"/>
    <col min="5391" max="5391" width="10.140625" bestFit="1" customWidth="1"/>
    <col min="5634" max="5634" width="28.85546875" customWidth="1"/>
    <col min="5635" max="5644" width="12.140625" customWidth="1"/>
    <col min="5645" max="5645" width="11.85546875" bestFit="1" customWidth="1"/>
    <col min="5647" max="5647" width="10.140625" bestFit="1" customWidth="1"/>
    <col min="5890" max="5890" width="28.85546875" customWidth="1"/>
    <col min="5891" max="5900" width="12.140625" customWidth="1"/>
    <col min="5901" max="5901" width="11.85546875" bestFit="1" customWidth="1"/>
    <col min="5903" max="5903" width="10.140625" bestFit="1" customWidth="1"/>
    <col min="6146" max="6146" width="28.85546875" customWidth="1"/>
    <col min="6147" max="6156" width="12.140625" customWidth="1"/>
    <col min="6157" max="6157" width="11.85546875" bestFit="1" customWidth="1"/>
    <col min="6159" max="6159" width="10.140625" bestFit="1" customWidth="1"/>
    <col min="6402" max="6402" width="28.85546875" customWidth="1"/>
    <col min="6403" max="6412" width="12.140625" customWidth="1"/>
    <col min="6413" max="6413" width="11.85546875" bestFit="1" customWidth="1"/>
    <col min="6415" max="6415" width="10.140625" bestFit="1" customWidth="1"/>
    <col min="6658" max="6658" width="28.85546875" customWidth="1"/>
    <col min="6659" max="6668" width="12.140625" customWidth="1"/>
    <col min="6669" max="6669" width="11.85546875" bestFit="1" customWidth="1"/>
    <col min="6671" max="6671" width="10.140625" bestFit="1" customWidth="1"/>
    <col min="6914" max="6914" width="28.85546875" customWidth="1"/>
    <col min="6915" max="6924" width="12.140625" customWidth="1"/>
    <col min="6925" max="6925" width="11.85546875" bestFit="1" customWidth="1"/>
    <col min="6927" max="6927" width="10.140625" bestFit="1" customWidth="1"/>
    <col min="7170" max="7170" width="28.85546875" customWidth="1"/>
    <col min="7171" max="7180" width="12.140625" customWidth="1"/>
    <col min="7181" max="7181" width="11.85546875" bestFit="1" customWidth="1"/>
    <col min="7183" max="7183" width="10.140625" bestFit="1" customWidth="1"/>
    <col min="7426" max="7426" width="28.85546875" customWidth="1"/>
    <col min="7427" max="7436" width="12.140625" customWidth="1"/>
    <col min="7437" max="7437" width="11.85546875" bestFit="1" customWidth="1"/>
    <col min="7439" max="7439" width="10.140625" bestFit="1" customWidth="1"/>
    <col min="7682" max="7682" width="28.85546875" customWidth="1"/>
    <col min="7683" max="7692" width="12.140625" customWidth="1"/>
    <col min="7693" max="7693" width="11.85546875" bestFit="1" customWidth="1"/>
    <col min="7695" max="7695" width="10.140625" bestFit="1" customWidth="1"/>
    <col min="7938" max="7938" width="28.85546875" customWidth="1"/>
    <col min="7939" max="7948" width="12.140625" customWidth="1"/>
    <col min="7949" max="7949" width="11.85546875" bestFit="1" customWidth="1"/>
    <col min="7951" max="7951" width="10.140625" bestFit="1" customWidth="1"/>
    <col min="8194" max="8194" width="28.85546875" customWidth="1"/>
    <col min="8195" max="8204" width="12.140625" customWidth="1"/>
    <col min="8205" max="8205" width="11.85546875" bestFit="1" customWidth="1"/>
    <col min="8207" max="8207" width="10.140625" bestFit="1" customWidth="1"/>
    <col min="8450" max="8450" width="28.85546875" customWidth="1"/>
    <col min="8451" max="8460" width="12.140625" customWidth="1"/>
    <col min="8461" max="8461" width="11.85546875" bestFit="1" customWidth="1"/>
    <col min="8463" max="8463" width="10.140625" bestFit="1" customWidth="1"/>
    <col min="8706" max="8706" width="28.85546875" customWidth="1"/>
    <col min="8707" max="8716" width="12.140625" customWidth="1"/>
    <col min="8717" max="8717" width="11.85546875" bestFit="1" customWidth="1"/>
    <col min="8719" max="8719" width="10.140625" bestFit="1" customWidth="1"/>
    <col min="8962" max="8962" width="28.85546875" customWidth="1"/>
    <col min="8963" max="8972" width="12.140625" customWidth="1"/>
    <col min="8973" max="8973" width="11.85546875" bestFit="1" customWidth="1"/>
    <col min="8975" max="8975" width="10.140625" bestFit="1" customWidth="1"/>
    <col min="9218" max="9218" width="28.85546875" customWidth="1"/>
    <col min="9219" max="9228" width="12.140625" customWidth="1"/>
    <col min="9229" max="9229" width="11.85546875" bestFit="1" customWidth="1"/>
    <col min="9231" max="9231" width="10.140625" bestFit="1" customWidth="1"/>
    <col min="9474" max="9474" width="28.85546875" customWidth="1"/>
    <col min="9475" max="9484" width="12.140625" customWidth="1"/>
    <col min="9485" max="9485" width="11.85546875" bestFit="1" customWidth="1"/>
    <col min="9487" max="9487" width="10.140625" bestFit="1" customWidth="1"/>
    <col min="9730" max="9730" width="28.85546875" customWidth="1"/>
    <col min="9731" max="9740" width="12.140625" customWidth="1"/>
    <col min="9741" max="9741" width="11.85546875" bestFit="1" customWidth="1"/>
    <col min="9743" max="9743" width="10.140625" bestFit="1" customWidth="1"/>
    <col min="9986" max="9986" width="28.85546875" customWidth="1"/>
    <col min="9987" max="9996" width="12.140625" customWidth="1"/>
    <col min="9997" max="9997" width="11.85546875" bestFit="1" customWidth="1"/>
    <col min="9999" max="9999" width="10.140625" bestFit="1" customWidth="1"/>
    <col min="10242" max="10242" width="28.85546875" customWidth="1"/>
    <col min="10243" max="10252" width="12.140625" customWidth="1"/>
    <col min="10253" max="10253" width="11.85546875" bestFit="1" customWidth="1"/>
    <col min="10255" max="10255" width="10.140625" bestFit="1" customWidth="1"/>
    <col min="10498" max="10498" width="28.85546875" customWidth="1"/>
    <col min="10499" max="10508" width="12.140625" customWidth="1"/>
    <col min="10509" max="10509" width="11.85546875" bestFit="1" customWidth="1"/>
    <col min="10511" max="10511" width="10.140625" bestFit="1" customWidth="1"/>
    <col min="10754" max="10754" width="28.85546875" customWidth="1"/>
    <col min="10755" max="10764" width="12.140625" customWidth="1"/>
    <col min="10765" max="10765" width="11.85546875" bestFit="1" customWidth="1"/>
    <col min="10767" max="10767" width="10.140625" bestFit="1" customWidth="1"/>
    <col min="11010" max="11010" width="28.85546875" customWidth="1"/>
    <col min="11011" max="11020" width="12.140625" customWidth="1"/>
    <col min="11021" max="11021" width="11.85546875" bestFit="1" customWidth="1"/>
    <col min="11023" max="11023" width="10.140625" bestFit="1" customWidth="1"/>
    <col min="11266" max="11266" width="28.85546875" customWidth="1"/>
    <col min="11267" max="11276" width="12.140625" customWidth="1"/>
    <col min="11277" max="11277" width="11.85546875" bestFit="1" customWidth="1"/>
    <col min="11279" max="11279" width="10.140625" bestFit="1" customWidth="1"/>
    <col min="11522" max="11522" width="28.85546875" customWidth="1"/>
    <col min="11523" max="11532" width="12.140625" customWidth="1"/>
    <col min="11533" max="11533" width="11.85546875" bestFit="1" customWidth="1"/>
    <col min="11535" max="11535" width="10.140625" bestFit="1" customWidth="1"/>
    <col min="11778" max="11778" width="28.85546875" customWidth="1"/>
    <col min="11779" max="11788" width="12.140625" customWidth="1"/>
    <col min="11789" max="11789" width="11.85546875" bestFit="1" customWidth="1"/>
    <col min="11791" max="11791" width="10.140625" bestFit="1" customWidth="1"/>
    <col min="12034" max="12034" width="28.85546875" customWidth="1"/>
    <col min="12035" max="12044" width="12.140625" customWidth="1"/>
    <col min="12045" max="12045" width="11.85546875" bestFit="1" customWidth="1"/>
    <col min="12047" max="12047" width="10.140625" bestFit="1" customWidth="1"/>
    <col min="12290" max="12290" width="28.85546875" customWidth="1"/>
    <col min="12291" max="12300" width="12.140625" customWidth="1"/>
    <col min="12301" max="12301" width="11.85546875" bestFit="1" customWidth="1"/>
    <col min="12303" max="12303" width="10.140625" bestFit="1" customWidth="1"/>
    <col min="12546" max="12546" width="28.85546875" customWidth="1"/>
    <col min="12547" max="12556" width="12.140625" customWidth="1"/>
    <col min="12557" max="12557" width="11.85546875" bestFit="1" customWidth="1"/>
    <col min="12559" max="12559" width="10.140625" bestFit="1" customWidth="1"/>
    <col min="12802" max="12802" width="28.85546875" customWidth="1"/>
    <col min="12803" max="12812" width="12.140625" customWidth="1"/>
    <col min="12813" max="12813" width="11.85546875" bestFit="1" customWidth="1"/>
    <col min="12815" max="12815" width="10.140625" bestFit="1" customWidth="1"/>
    <col min="13058" max="13058" width="28.85546875" customWidth="1"/>
    <col min="13059" max="13068" width="12.140625" customWidth="1"/>
    <col min="13069" max="13069" width="11.85546875" bestFit="1" customWidth="1"/>
    <col min="13071" max="13071" width="10.140625" bestFit="1" customWidth="1"/>
    <col min="13314" max="13314" width="28.85546875" customWidth="1"/>
    <col min="13315" max="13324" width="12.140625" customWidth="1"/>
    <col min="13325" max="13325" width="11.85546875" bestFit="1" customWidth="1"/>
    <col min="13327" max="13327" width="10.140625" bestFit="1" customWidth="1"/>
    <col min="13570" max="13570" width="28.85546875" customWidth="1"/>
    <col min="13571" max="13580" width="12.140625" customWidth="1"/>
    <col min="13581" max="13581" width="11.85546875" bestFit="1" customWidth="1"/>
    <col min="13583" max="13583" width="10.140625" bestFit="1" customWidth="1"/>
    <col min="13826" max="13826" width="28.85546875" customWidth="1"/>
    <col min="13827" max="13836" width="12.140625" customWidth="1"/>
    <col min="13837" max="13837" width="11.85546875" bestFit="1" customWidth="1"/>
    <col min="13839" max="13839" width="10.140625" bestFit="1" customWidth="1"/>
    <col min="14082" max="14082" width="28.85546875" customWidth="1"/>
    <col min="14083" max="14092" width="12.140625" customWidth="1"/>
    <col min="14093" max="14093" width="11.85546875" bestFit="1" customWidth="1"/>
    <col min="14095" max="14095" width="10.140625" bestFit="1" customWidth="1"/>
    <col min="14338" max="14338" width="28.85546875" customWidth="1"/>
    <col min="14339" max="14348" width="12.140625" customWidth="1"/>
    <col min="14349" max="14349" width="11.85546875" bestFit="1" customWidth="1"/>
    <col min="14351" max="14351" width="10.140625" bestFit="1" customWidth="1"/>
    <col min="14594" max="14594" width="28.85546875" customWidth="1"/>
    <col min="14595" max="14604" width="12.140625" customWidth="1"/>
    <col min="14605" max="14605" width="11.85546875" bestFit="1" customWidth="1"/>
    <col min="14607" max="14607" width="10.140625" bestFit="1" customWidth="1"/>
    <col min="14850" max="14850" width="28.85546875" customWidth="1"/>
    <col min="14851" max="14860" width="12.140625" customWidth="1"/>
    <col min="14861" max="14861" width="11.85546875" bestFit="1" customWidth="1"/>
    <col min="14863" max="14863" width="10.140625" bestFit="1" customWidth="1"/>
    <col min="15106" max="15106" width="28.85546875" customWidth="1"/>
    <col min="15107" max="15116" width="12.140625" customWidth="1"/>
    <col min="15117" max="15117" width="11.85546875" bestFit="1" customWidth="1"/>
    <col min="15119" max="15119" width="10.140625" bestFit="1" customWidth="1"/>
    <col min="15362" max="15362" width="28.85546875" customWidth="1"/>
    <col min="15363" max="15372" width="12.140625" customWidth="1"/>
    <col min="15373" max="15373" width="11.85546875" bestFit="1" customWidth="1"/>
    <col min="15375" max="15375" width="10.140625" bestFit="1" customWidth="1"/>
    <col min="15618" max="15618" width="28.85546875" customWidth="1"/>
    <col min="15619" max="15628" width="12.140625" customWidth="1"/>
    <col min="15629" max="15629" width="11.85546875" bestFit="1" customWidth="1"/>
    <col min="15631" max="15631" width="10.140625" bestFit="1" customWidth="1"/>
    <col min="15874" max="15874" width="28.85546875" customWidth="1"/>
    <col min="15875" max="15884" width="12.140625" customWidth="1"/>
    <col min="15885" max="15885" width="11.85546875" bestFit="1" customWidth="1"/>
    <col min="15887" max="15887" width="10.140625" bestFit="1" customWidth="1"/>
    <col min="16130" max="16130" width="28.85546875" customWidth="1"/>
    <col min="16131" max="16140" width="12.140625" customWidth="1"/>
    <col min="16141" max="16141" width="11.85546875" bestFit="1" customWidth="1"/>
    <col min="16143" max="16143" width="10.140625" bestFit="1" customWidth="1"/>
  </cols>
  <sheetData>
    <row r="1" spans="1:14" ht="15" customHeight="1" x14ac:dyDescent="0.25">
      <c r="A1" s="60" t="s">
        <v>101</v>
      </c>
      <c r="B1" s="60"/>
      <c r="C1" s="60"/>
      <c r="D1" s="79" t="s">
        <v>121</v>
      </c>
      <c r="E1" s="79"/>
      <c r="F1" s="79"/>
      <c r="G1" s="79"/>
      <c r="H1" s="79"/>
      <c r="I1" s="79"/>
      <c r="J1" s="79"/>
      <c r="K1" s="79"/>
      <c r="L1" s="79"/>
      <c r="M1" s="79"/>
    </row>
    <row r="2" spans="1:14" x14ac:dyDescent="0.25">
      <c r="A2" s="61" t="s">
        <v>102</v>
      </c>
      <c r="B2" s="61"/>
      <c r="C2" s="60"/>
      <c r="D2" s="79"/>
      <c r="E2" s="79"/>
      <c r="F2" s="79"/>
      <c r="G2" s="79"/>
      <c r="H2" s="79"/>
      <c r="I2" s="79"/>
      <c r="J2" s="79"/>
      <c r="K2" s="79"/>
      <c r="L2" s="79"/>
      <c r="M2" s="79"/>
    </row>
    <row r="3" spans="1:14" x14ac:dyDescent="0.25">
      <c r="C3" s="62"/>
      <c r="D3" s="79"/>
      <c r="E3" s="79"/>
      <c r="F3" s="79"/>
      <c r="G3" s="79"/>
      <c r="H3" s="79"/>
      <c r="I3" s="79"/>
      <c r="J3" s="79"/>
      <c r="K3" s="79"/>
      <c r="L3" s="79"/>
      <c r="M3" s="79"/>
    </row>
    <row r="4" spans="1:14" x14ac:dyDescent="0.25">
      <c r="A4" t="s">
        <v>103</v>
      </c>
      <c r="C4" t="s">
        <v>104</v>
      </c>
      <c r="D4" s="83">
        <v>50000</v>
      </c>
    </row>
    <row r="5" spans="1:14" x14ac:dyDescent="0.25">
      <c r="A5" t="s">
        <v>105</v>
      </c>
      <c r="C5" t="s">
        <v>106</v>
      </c>
      <c r="D5" s="83">
        <v>5000</v>
      </c>
    </row>
    <row r="6" spans="1:14" x14ac:dyDescent="0.25">
      <c r="A6" t="s">
        <v>107</v>
      </c>
      <c r="C6" t="s">
        <v>108</v>
      </c>
      <c r="D6" s="63">
        <v>10</v>
      </c>
      <c r="E6" t="s">
        <v>109</v>
      </c>
    </row>
    <row r="7" spans="1:14" x14ac:dyDescent="0.25">
      <c r="C7" t="s">
        <v>110</v>
      </c>
      <c r="D7" s="64">
        <v>2026</v>
      </c>
    </row>
    <row r="8" spans="1:14" s="45" customFormat="1" x14ac:dyDescent="0.25">
      <c r="D8" s="45" cm="1">
        <f t="array" ref="D8:M8">_xlfn.SEQUENCE(,D6,1,0)</f>
        <v>1</v>
      </c>
      <c r="E8" s="45">
        <v>1</v>
      </c>
      <c r="F8" s="45">
        <v>1</v>
      </c>
      <c r="G8" s="45">
        <v>1</v>
      </c>
      <c r="H8" s="45">
        <v>1</v>
      </c>
      <c r="I8" s="45">
        <v>1</v>
      </c>
      <c r="J8" s="45">
        <v>1</v>
      </c>
      <c r="K8" s="45">
        <v>1</v>
      </c>
      <c r="L8" s="45">
        <v>1</v>
      </c>
      <c r="M8" s="45">
        <v>1</v>
      </c>
    </row>
    <row r="9" spans="1:14" x14ac:dyDescent="0.25">
      <c r="D9" s="60" cm="1">
        <f t="array" ref="D9:M9">_xlfn.SEQUENCE(,D6,D7)</f>
        <v>2026</v>
      </c>
      <c r="E9" s="60">
        <v>2027</v>
      </c>
      <c r="F9" s="60">
        <v>2028</v>
      </c>
      <c r="G9" s="60">
        <v>2029</v>
      </c>
      <c r="H9" s="60">
        <v>2030</v>
      </c>
      <c r="I9" s="60">
        <v>2031</v>
      </c>
      <c r="J9" s="60">
        <v>2032</v>
      </c>
      <c r="K9" s="60">
        <v>2033</v>
      </c>
      <c r="L9" s="60">
        <v>2034</v>
      </c>
      <c r="M9" s="60">
        <v>2035</v>
      </c>
    </row>
    <row r="10" spans="1:14" s="65" customFormat="1" ht="11.25" x14ac:dyDescent="0.2">
      <c r="D10" s="66" cm="1">
        <f t="array" ref="D10:M10">_xlfn.SEQUENCE(,D6)</f>
        <v>1</v>
      </c>
      <c r="E10" s="66">
        <v>2</v>
      </c>
      <c r="F10" s="66">
        <v>3</v>
      </c>
      <c r="G10" s="66">
        <v>4</v>
      </c>
      <c r="H10" s="66">
        <v>5</v>
      </c>
      <c r="I10" s="66">
        <v>6</v>
      </c>
      <c r="J10" s="66">
        <v>7</v>
      </c>
      <c r="K10" s="66">
        <v>8</v>
      </c>
      <c r="L10" s="66">
        <v>9</v>
      </c>
      <c r="M10" s="66">
        <v>10</v>
      </c>
    </row>
    <row r="11" spans="1:14" x14ac:dyDescent="0.25">
      <c r="A11" t="s">
        <v>111</v>
      </c>
      <c r="B11" s="21" t="s">
        <v>122</v>
      </c>
      <c r="C11" s="67" t="s">
        <v>112</v>
      </c>
      <c r="D11" s="85" cm="1">
        <f t="array" ref="D11:M11">SLN(D4,D5,D6)*_xlfn.ANCHORARRAY(D8)</f>
        <v>4500</v>
      </c>
      <c r="E11" s="85">
        <v>4500</v>
      </c>
      <c r="F11" s="85">
        <v>4500</v>
      </c>
      <c r="G11" s="85">
        <v>4500</v>
      </c>
      <c r="H11" s="85">
        <v>4500</v>
      </c>
      <c r="I11" s="85">
        <v>4500</v>
      </c>
      <c r="J11" s="85">
        <v>4500</v>
      </c>
      <c r="K11" s="85">
        <v>4500</v>
      </c>
      <c r="L11" s="85">
        <v>4500</v>
      </c>
      <c r="M11" s="85">
        <v>4500</v>
      </c>
      <c r="N11" s="68"/>
    </row>
    <row r="12" spans="1:14" x14ac:dyDescent="0.25">
      <c r="A12" t="s">
        <v>113</v>
      </c>
      <c r="B12" s="21" t="s">
        <v>123</v>
      </c>
      <c r="C12" s="67" t="s">
        <v>114</v>
      </c>
      <c r="D12" s="85" cm="1">
        <f t="array" ref="D12:M12">DB(D4,D5,D6,_xlfn.ANCHORARRAY(D10))</f>
        <v>10300</v>
      </c>
      <c r="E12" s="85">
        <v>8178.2</v>
      </c>
      <c r="F12" s="85">
        <v>6493.4907999999996</v>
      </c>
      <c r="G12" s="85">
        <v>5155.8316951999996</v>
      </c>
      <c r="H12" s="85">
        <v>4093.7303659887998</v>
      </c>
      <c r="I12" s="85">
        <v>3250.421910595107</v>
      </c>
      <c r="J12" s="85">
        <v>2580.834997012515</v>
      </c>
      <c r="K12" s="85">
        <v>2049.1829876279371</v>
      </c>
      <c r="L12" s="85">
        <v>1627.0512921765821</v>
      </c>
      <c r="M12" s="85">
        <v>1291.8787259882063</v>
      </c>
      <c r="N12" s="68"/>
    </row>
    <row r="13" spans="1:14" x14ac:dyDescent="0.25">
      <c r="A13" t="s">
        <v>115</v>
      </c>
      <c r="B13" s="21" t="s">
        <v>124</v>
      </c>
      <c r="C13" s="67" t="s">
        <v>116</v>
      </c>
      <c r="D13" s="85" cm="1">
        <f t="array" ref="D13:M13">DDB(D4,D5,D6,_xlfn.ANCHORARRAY(D10))</f>
        <v>10000</v>
      </c>
      <c r="E13" s="85">
        <v>8000</v>
      </c>
      <c r="F13" s="85">
        <v>6400.0000000000018</v>
      </c>
      <c r="G13" s="85">
        <v>5120.0000000000018</v>
      </c>
      <c r="H13" s="85">
        <v>4096.0000000000027</v>
      </c>
      <c r="I13" s="85">
        <v>3276.8000000000025</v>
      </c>
      <c r="J13" s="85">
        <v>2621.4400000000019</v>
      </c>
      <c r="K13" s="85">
        <v>2097.1520000000014</v>
      </c>
      <c r="L13" s="85">
        <v>1677.7216000000017</v>
      </c>
      <c r="M13" s="85">
        <v>1342.1772800000012</v>
      </c>
      <c r="N13" s="68"/>
    </row>
    <row r="14" spans="1:14" x14ac:dyDescent="0.25">
      <c r="A14" t="s">
        <v>117</v>
      </c>
      <c r="B14" s="21" t="s">
        <v>125</v>
      </c>
      <c r="C14" s="67" t="s">
        <v>118</v>
      </c>
      <c r="D14" s="85" cm="1">
        <f t="array" ref="D14:M14">SYD(D4,D5,D6,_xlfn.ANCHORARRAY(D10))</f>
        <v>8181.818181818182</v>
      </c>
      <c r="E14" s="85">
        <v>7363.636363636364</v>
      </c>
      <c r="F14" s="85">
        <v>6545.454545454545</v>
      </c>
      <c r="G14" s="85">
        <v>5727.272727272727</v>
      </c>
      <c r="H14" s="85">
        <v>4909.090909090909</v>
      </c>
      <c r="I14" s="85">
        <v>4090.909090909091</v>
      </c>
      <c r="J14" s="85">
        <v>3272.7272727272725</v>
      </c>
      <c r="K14" s="85">
        <v>2454.5454545454545</v>
      </c>
      <c r="L14" s="85">
        <v>1636.3636363636363</v>
      </c>
      <c r="M14" s="85">
        <v>818.18181818181813</v>
      </c>
      <c r="N14" s="68"/>
    </row>
    <row r="15" spans="1:14" x14ac:dyDescent="0.25">
      <c r="A15" t="s">
        <v>119</v>
      </c>
      <c r="B15" s="21" t="s">
        <v>126</v>
      </c>
      <c r="C15" s="67" t="s">
        <v>120</v>
      </c>
      <c r="D15" s="85" cm="1">
        <f t="array" ref="D15:M15">VDB(D4,D5,D6,_xlfn.ANCHORARRAY(D10)-1,_xlfn.ANCHORARRAY(D10))</f>
        <v>10000</v>
      </c>
      <c r="E15" s="85">
        <v>8000</v>
      </c>
      <c r="F15" s="85">
        <v>6400</v>
      </c>
      <c r="G15" s="85">
        <v>5120</v>
      </c>
      <c r="H15" s="85">
        <v>4096</v>
      </c>
      <c r="I15" s="85">
        <v>3276.8</v>
      </c>
      <c r="J15" s="85">
        <v>2621.4400000000005</v>
      </c>
      <c r="K15" s="85">
        <v>2097.152</v>
      </c>
      <c r="L15" s="85">
        <v>1694.3040000000001</v>
      </c>
      <c r="M15" s="85">
        <v>1694.3040000000001</v>
      </c>
      <c r="N15" s="68"/>
    </row>
    <row r="16" spans="1:14" x14ac:dyDescent="0.25">
      <c r="A16" t="s">
        <v>111</v>
      </c>
      <c r="B16" s="21" t="s">
        <v>122</v>
      </c>
      <c r="C16" s="67" t="s">
        <v>112</v>
      </c>
      <c r="D16" s="16" t="str">
        <f ca="1">_xlfn.FORMULATEXT(D11)</f>
        <v>=SLN(D4,D5,D6)*D8#</v>
      </c>
    </row>
    <row r="17" spans="1:4" x14ac:dyDescent="0.25">
      <c r="A17" t="s">
        <v>113</v>
      </c>
      <c r="B17" s="21" t="s">
        <v>123</v>
      </c>
      <c r="C17" s="67" t="s">
        <v>114</v>
      </c>
      <c r="D17" s="16" t="str">
        <f ca="1">_xlfn.FORMULATEXT(D12)</f>
        <v>=DB(D4,D5,D6,D10#)</v>
      </c>
    </row>
    <row r="18" spans="1:4" x14ac:dyDescent="0.25">
      <c r="A18" t="s">
        <v>115</v>
      </c>
      <c r="B18" s="21" t="s">
        <v>124</v>
      </c>
      <c r="C18" s="67" t="s">
        <v>116</v>
      </c>
      <c r="D18" s="16" t="str">
        <f ca="1">_xlfn.FORMULATEXT(D13)</f>
        <v>=DDB(D4,D5,D6,D10#)</v>
      </c>
    </row>
    <row r="19" spans="1:4" x14ac:dyDescent="0.25">
      <c r="A19" t="s">
        <v>117</v>
      </c>
      <c r="B19" s="21" t="s">
        <v>125</v>
      </c>
      <c r="C19" s="67" t="s">
        <v>118</v>
      </c>
      <c r="D19" s="16" t="str">
        <f ca="1">_xlfn.FORMULATEXT(D14)</f>
        <v>=SYD(D4,D5,D6,D10#)</v>
      </c>
    </row>
    <row r="20" spans="1:4" x14ac:dyDescent="0.25">
      <c r="A20" t="s">
        <v>119</v>
      </c>
      <c r="B20" s="21" t="s">
        <v>126</v>
      </c>
      <c r="C20" s="67" t="s">
        <v>120</v>
      </c>
      <c r="D20" s="16" t="str">
        <f ca="1">_xlfn.FORMULATEXT(D15)</f>
        <v>=VDB(D4,D5,D6,D10#-1,D10#)</v>
      </c>
    </row>
  </sheetData>
  <mergeCells count="1">
    <mergeCell ref="D1:M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172CB-03EA-4BDA-950B-4693E069D23B}">
  <dimension ref="A1:CK28"/>
  <sheetViews>
    <sheetView tabSelected="1" topLeftCell="AB2" zoomScale="130" zoomScaleNormal="130" workbookViewId="0">
      <selection activeCell="AS8" sqref="AS8"/>
    </sheetView>
  </sheetViews>
  <sheetFormatPr defaultRowHeight="15" x14ac:dyDescent="0.25"/>
  <cols>
    <col min="1" max="1" width="37.5703125" bestFit="1" customWidth="1"/>
    <col min="2" max="2" width="18.42578125" bestFit="1" customWidth="1"/>
    <col min="3" max="3" width="7" bestFit="1" customWidth="1"/>
    <col min="4" max="4" width="22.7109375" bestFit="1" customWidth="1"/>
    <col min="5" max="5" width="16" bestFit="1" customWidth="1"/>
    <col min="6" max="6" width="15.7109375" bestFit="1" customWidth="1"/>
    <col min="7" max="7" width="15.5703125" bestFit="1" customWidth="1"/>
    <col min="8" max="8" width="16" bestFit="1" customWidth="1"/>
    <col min="10" max="10" width="7" bestFit="1" customWidth="1"/>
    <col min="23" max="23" width="45.7109375" bestFit="1" customWidth="1"/>
    <col min="24" max="29" width="11.140625" bestFit="1" customWidth="1"/>
    <col min="32" max="32" width="18.42578125" bestFit="1" customWidth="1"/>
    <col min="38" max="38" width="18.28515625" customWidth="1"/>
  </cols>
  <sheetData>
    <row r="1" spans="1:89" x14ac:dyDescent="0.25">
      <c r="A1" s="88" t="s">
        <v>151</v>
      </c>
      <c r="B1" s="103" t="s">
        <v>162</v>
      </c>
      <c r="C1" s="103"/>
      <c r="D1" s="103"/>
      <c r="E1" s="103"/>
      <c r="F1" s="103"/>
      <c r="G1" s="103"/>
      <c r="H1" s="103"/>
      <c r="I1" s="103"/>
      <c r="J1" s="103"/>
      <c r="L1" s="88" t="s">
        <v>163</v>
      </c>
      <c r="M1" s="88"/>
      <c r="N1" s="103" t="s">
        <v>170</v>
      </c>
      <c r="O1" s="103"/>
      <c r="P1" s="103"/>
      <c r="Q1" s="103"/>
      <c r="R1" s="103"/>
      <c r="S1" s="103"/>
      <c r="T1" s="103"/>
      <c r="U1" s="103"/>
      <c r="W1" s="88" t="s">
        <v>172</v>
      </c>
      <c r="X1" s="116" t="s">
        <v>175</v>
      </c>
      <c r="Y1" s="116"/>
      <c r="Z1" s="116"/>
      <c r="AA1" s="116"/>
      <c r="AB1" s="116"/>
      <c r="AC1" s="116"/>
      <c r="AE1" s="88" t="s">
        <v>176</v>
      </c>
      <c r="AF1" s="88" t="s">
        <v>157</v>
      </c>
      <c r="AG1" s="88"/>
      <c r="AH1" s="103" t="s">
        <v>178</v>
      </c>
      <c r="AI1" s="118"/>
      <c r="AJ1" s="118"/>
      <c r="AK1" s="118"/>
      <c r="AL1" s="118"/>
      <c r="AO1" s="88" t="s">
        <v>179</v>
      </c>
      <c r="AP1" s="88" t="s">
        <v>180</v>
      </c>
      <c r="AQ1" s="88"/>
      <c r="AR1" s="116" t="s">
        <v>190</v>
      </c>
      <c r="AS1" s="116"/>
      <c r="AT1" s="116"/>
      <c r="AU1" s="116"/>
      <c r="AV1" s="116"/>
    </row>
    <row r="2" spans="1:89" ht="180.75" customHeight="1" x14ac:dyDescent="0.25">
      <c r="A2" s="89" t="s">
        <v>153</v>
      </c>
      <c r="B2" s="103"/>
      <c r="C2" s="103"/>
      <c r="D2" s="103"/>
      <c r="E2" s="103"/>
      <c r="F2" s="103"/>
      <c r="G2" s="103"/>
      <c r="H2" s="103"/>
      <c r="I2" s="103"/>
      <c r="J2" s="103"/>
      <c r="L2" s="89" t="s">
        <v>164</v>
      </c>
      <c r="M2" s="88"/>
      <c r="N2" s="103"/>
      <c r="O2" s="103"/>
      <c r="P2" s="103"/>
      <c r="Q2" s="103"/>
      <c r="R2" s="103"/>
      <c r="S2" s="103"/>
      <c r="T2" s="103"/>
      <c r="U2" s="103"/>
      <c r="W2" s="89" t="s">
        <v>173</v>
      </c>
      <c r="X2" s="116"/>
      <c r="Y2" s="116"/>
      <c r="Z2" s="116"/>
      <c r="AA2" s="116"/>
      <c r="AB2" s="116"/>
      <c r="AC2" s="116"/>
      <c r="AE2" s="127" t="s">
        <v>177</v>
      </c>
      <c r="AF2" s="127"/>
      <c r="AG2" s="127"/>
      <c r="AH2" s="118"/>
      <c r="AI2" s="118"/>
      <c r="AJ2" s="118"/>
      <c r="AK2" s="118"/>
      <c r="AL2" s="118"/>
      <c r="AO2" s="127" t="s">
        <v>181</v>
      </c>
      <c r="AP2" s="127"/>
      <c r="AQ2" s="127"/>
      <c r="AR2" s="116"/>
      <c r="AS2" s="116"/>
      <c r="AT2" s="116"/>
      <c r="AU2" s="116"/>
      <c r="AV2" s="116"/>
      <c r="AX2" s="88" t="s">
        <v>191</v>
      </c>
      <c r="AY2" s="88" t="s">
        <v>180</v>
      </c>
      <c r="AZ2" s="88"/>
      <c r="BA2" s="88"/>
      <c r="BB2" s="88"/>
      <c r="BC2" s="88"/>
      <c r="BD2" s="88"/>
      <c r="BE2" s="88"/>
      <c r="BG2" s="88" t="s">
        <v>197</v>
      </c>
      <c r="BH2" s="88" t="s">
        <v>198</v>
      </c>
      <c r="BI2" s="88"/>
      <c r="BJ2" s="88"/>
      <c r="BK2" s="88"/>
      <c r="BL2" s="88"/>
      <c r="BM2" s="88"/>
      <c r="BN2" s="88"/>
      <c r="BP2" s="88" t="s">
        <v>200</v>
      </c>
      <c r="BQ2" s="88"/>
      <c r="BR2" s="88"/>
      <c r="BS2" s="88"/>
      <c r="BT2" s="88"/>
      <c r="BU2" s="88"/>
      <c r="BV2" s="88"/>
      <c r="BW2" s="88"/>
      <c r="BY2" s="88" t="s">
        <v>202</v>
      </c>
      <c r="BZ2" s="88" t="s">
        <v>203</v>
      </c>
      <c r="CA2" s="88"/>
      <c r="CB2" s="88"/>
      <c r="CC2" s="88"/>
      <c r="CD2" s="88"/>
      <c r="CE2" s="88"/>
      <c r="CF2" s="88"/>
      <c r="CH2" s="88" t="s">
        <v>210</v>
      </c>
      <c r="CI2" s="88"/>
      <c r="CJ2" s="88"/>
      <c r="CK2" s="88"/>
    </row>
    <row r="3" spans="1:89" x14ac:dyDescent="0.25">
      <c r="A3" s="21" t="s">
        <v>169</v>
      </c>
      <c r="L3" s="51" t="s">
        <v>171</v>
      </c>
      <c r="M3" s="51"/>
      <c r="N3" s="51"/>
      <c r="O3" s="51"/>
      <c r="AX3" s="117" t="s">
        <v>192</v>
      </c>
      <c r="AY3" s="88"/>
      <c r="AZ3" s="88"/>
      <c r="BA3" s="88"/>
      <c r="BB3" s="88"/>
      <c r="BC3" s="88"/>
      <c r="BD3" s="88"/>
      <c r="BE3" s="88"/>
      <c r="BG3" s="117" t="s">
        <v>199</v>
      </c>
      <c r="BH3" s="88"/>
      <c r="BI3" s="88"/>
      <c r="BJ3" s="88"/>
      <c r="BK3" s="88"/>
      <c r="BL3" s="88"/>
      <c r="BM3" s="88"/>
      <c r="BN3" s="88"/>
      <c r="BP3" s="117" t="s">
        <v>201</v>
      </c>
      <c r="BQ3" s="88"/>
      <c r="BR3" s="88"/>
      <c r="BS3" s="88"/>
      <c r="BT3" s="88"/>
      <c r="BU3" s="88"/>
      <c r="BV3" s="88"/>
      <c r="BW3" s="88"/>
      <c r="BY3" s="117" t="s">
        <v>204</v>
      </c>
      <c r="BZ3" s="88"/>
      <c r="CA3" s="88"/>
      <c r="CB3" s="88"/>
      <c r="CC3" s="88"/>
      <c r="CD3" s="88"/>
      <c r="CE3" s="88"/>
      <c r="CF3" s="88"/>
      <c r="CH3" s="117" t="s">
        <v>211</v>
      </c>
      <c r="CI3" s="88"/>
      <c r="CJ3" s="88"/>
      <c r="CK3" s="88"/>
    </row>
    <row r="4" spans="1:89" x14ac:dyDescent="0.25">
      <c r="A4" s="90" t="s">
        <v>154</v>
      </c>
      <c r="B4" s="90"/>
      <c r="C4" s="90"/>
      <c r="N4" s="99" t="s">
        <v>159</v>
      </c>
      <c r="O4" s="104" t="s">
        <v>160</v>
      </c>
      <c r="P4" s="105"/>
      <c r="Q4" s="105"/>
      <c r="R4" s="105"/>
      <c r="S4" s="106"/>
      <c r="W4" s="90" t="s">
        <v>154</v>
      </c>
      <c r="X4" s="90"/>
      <c r="AE4" s="90" t="s">
        <v>154</v>
      </c>
      <c r="AF4" s="90"/>
      <c r="AG4" s="90"/>
      <c r="AO4" s="90" t="s">
        <v>154</v>
      </c>
      <c r="AP4" s="90"/>
      <c r="AQ4" s="90"/>
    </row>
    <row r="5" spans="1:89" x14ac:dyDescent="0.25">
      <c r="A5" s="3" t="s">
        <v>3</v>
      </c>
      <c r="B5" t="s">
        <v>4</v>
      </c>
      <c r="C5" s="91">
        <v>0.05</v>
      </c>
      <c r="F5" s="19">
        <f>FV(C5,C6,C7,C8,C9)</f>
        <v>-6400.5520359375005</v>
      </c>
      <c r="N5" s="100">
        <v>2024</v>
      </c>
      <c r="O5" s="100">
        <f>N5+1</f>
        <v>2025</v>
      </c>
      <c r="P5" s="100">
        <f>O5+1</f>
        <v>2026</v>
      </c>
      <c r="Q5" s="100">
        <f>P5+1</f>
        <v>2027</v>
      </c>
      <c r="R5" s="100">
        <f>Q5+1</f>
        <v>2028</v>
      </c>
      <c r="S5" s="100">
        <f>R5+1</f>
        <v>2029</v>
      </c>
      <c r="W5" s="96" t="s">
        <v>174</v>
      </c>
      <c r="X5" s="26">
        <v>0.05</v>
      </c>
      <c r="Y5" s="95"/>
      <c r="Z5" s="95"/>
      <c r="AA5" s="95"/>
      <c r="AB5" s="95"/>
      <c r="AC5" s="95"/>
      <c r="AE5" s="3" t="s">
        <v>3</v>
      </c>
      <c r="AF5" t="s">
        <v>4</v>
      </c>
      <c r="AG5" s="26">
        <v>0.05</v>
      </c>
      <c r="AO5" s="3" t="s">
        <v>3</v>
      </c>
      <c r="AP5" t="s">
        <v>4</v>
      </c>
      <c r="AQ5" s="26">
        <v>0.05</v>
      </c>
      <c r="AX5" s="3" t="s">
        <v>3</v>
      </c>
      <c r="AY5" t="s">
        <v>188</v>
      </c>
      <c r="AZ5" s="26">
        <v>6.2E-2</v>
      </c>
      <c r="BA5" s="126" t="s">
        <v>189</v>
      </c>
      <c r="BB5" s="95"/>
      <c r="BC5" s="95"/>
      <c r="BD5" s="95"/>
      <c r="BE5" s="95"/>
      <c r="BG5" s="107" t="s">
        <v>87</v>
      </c>
      <c r="BH5" s="95"/>
      <c r="BI5" s="26">
        <v>0.1</v>
      </c>
      <c r="BJ5" s="95"/>
      <c r="BK5" s="95"/>
      <c r="BL5" s="95"/>
      <c r="BM5" s="95"/>
      <c r="BN5" s="95"/>
      <c r="BO5" s="95"/>
      <c r="BP5" s="3"/>
      <c r="BQ5" s="95"/>
      <c r="BR5" s="119"/>
      <c r="BS5" s="128" t="s">
        <v>160</v>
      </c>
      <c r="BT5" s="129"/>
      <c r="BU5" s="129"/>
      <c r="BV5" s="129"/>
      <c r="BW5" s="130"/>
      <c r="BX5" s="95"/>
      <c r="BY5" s="3" t="s">
        <v>205</v>
      </c>
      <c r="BZ5" s="95" t="s">
        <v>206</v>
      </c>
      <c r="CA5" s="26">
        <v>0.09</v>
      </c>
      <c r="CB5" s="95"/>
      <c r="CC5" s="95"/>
      <c r="CD5" s="95"/>
      <c r="CE5" s="95"/>
      <c r="CF5" s="95"/>
      <c r="CH5" s="3" t="s">
        <v>5</v>
      </c>
      <c r="CI5" t="s">
        <v>212</v>
      </c>
      <c r="CJ5" s="134">
        <v>3</v>
      </c>
    </row>
    <row r="6" spans="1:89" x14ac:dyDescent="0.25">
      <c r="A6" s="3" t="s">
        <v>5</v>
      </c>
      <c r="B6" t="s">
        <v>155</v>
      </c>
      <c r="C6" s="7">
        <v>5</v>
      </c>
      <c r="L6" s="107" t="s">
        <v>165</v>
      </c>
      <c r="M6" s="108" t="s">
        <v>166</v>
      </c>
      <c r="N6" s="26">
        <v>0.05</v>
      </c>
      <c r="O6" s="26">
        <v>5.5E-2</v>
      </c>
      <c r="P6" s="26">
        <v>5.0999999999999997E-2</v>
      </c>
      <c r="Q6" s="26">
        <v>5.2999999999999999E-2</v>
      </c>
      <c r="R6" s="26">
        <v>4.8000000000000001E-2</v>
      </c>
      <c r="S6" s="95"/>
      <c r="W6" s="96"/>
      <c r="X6" s="110" t="s">
        <v>159</v>
      </c>
      <c r="Y6" s="111" t="s">
        <v>160</v>
      </c>
      <c r="Z6" s="111"/>
      <c r="AA6" s="111"/>
      <c r="AB6" s="111"/>
      <c r="AC6" s="111"/>
      <c r="AE6" s="3" t="s">
        <v>5</v>
      </c>
      <c r="AF6" t="s">
        <v>155</v>
      </c>
      <c r="AG6" s="7">
        <v>6</v>
      </c>
      <c r="AO6" s="3" t="s">
        <v>5</v>
      </c>
      <c r="AP6" t="s">
        <v>155</v>
      </c>
      <c r="AQ6" s="7">
        <v>6</v>
      </c>
      <c r="AX6" s="3"/>
      <c r="AY6" s="95"/>
      <c r="AZ6" s="119"/>
      <c r="BA6" s="120" t="s">
        <v>160</v>
      </c>
      <c r="BB6" s="121"/>
      <c r="BC6" s="121"/>
      <c r="BD6" s="121"/>
      <c r="BE6" s="122"/>
      <c r="BG6" s="3"/>
      <c r="BH6" s="95"/>
      <c r="BI6" s="119"/>
      <c r="BJ6" s="128" t="s">
        <v>160</v>
      </c>
      <c r="BK6" s="129"/>
      <c r="BL6" s="129"/>
      <c r="BM6" s="129"/>
      <c r="BN6" s="130"/>
      <c r="BO6" s="95"/>
      <c r="BP6" s="107"/>
      <c r="BQ6" s="95"/>
      <c r="BR6" s="100">
        <v>1</v>
      </c>
      <c r="BS6" s="100">
        <f>BR6+1</f>
        <v>2</v>
      </c>
      <c r="BT6" s="100">
        <f>BS6+1</f>
        <v>3</v>
      </c>
      <c r="BU6" s="100">
        <f>BT6+1</f>
        <v>4</v>
      </c>
      <c r="BV6" s="100">
        <f>BU6+1</f>
        <v>5</v>
      </c>
      <c r="BW6" s="100">
        <f>BV6+1</f>
        <v>6</v>
      </c>
      <c r="BX6" s="95"/>
      <c r="BY6" s="3" t="s">
        <v>207</v>
      </c>
      <c r="BZ6" s="95" t="s">
        <v>208</v>
      </c>
      <c r="CA6" s="26">
        <v>4.5499999999999999E-2</v>
      </c>
      <c r="CB6" s="95"/>
      <c r="CC6" s="95"/>
      <c r="CD6" s="95"/>
      <c r="CE6" s="95"/>
      <c r="CF6" s="95"/>
      <c r="CH6" s="3" t="s">
        <v>176</v>
      </c>
      <c r="CI6" t="s">
        <v>157</v>
      </c>
      <c r="CJ6" s="92">
        <v>223000</v>
      </c>
    </row>
    <row r="7" spans="1:89" x14ac:dyDescent="0.25">
      <c r="A7" s="3" t="s">
        <v>82</v>
      </c>
      <c r="B7" t="s">
        <v>156</v>
      </c>
      <c r="C7" s="6">
        <v>0</v>
      </c>
      <c r="L7" s="107" t="s">
        <v>167</v>
      </c>
      <c r="M7" s="102" t="s">
        <v>168</v>
      </c>
      <c r="N7" s="92">
        <v>5015</v>
      </c>
      <c r="O7" s="93">
        <f>N7*(1+N6)</f>
        <v>5265.75</v>
      </c>
      <c r="P7" s="93">
        <f t="shared" ref="P7:S7" si="0">O7*(1+O6)</f>
        <v>5555.36625</v>
      </c>
      <c r="Q7" s="93">
        <f t="shared" si="0"/>
        <v>5838.68992875</v>
      </c>
      <c r="R7" s="93">
        <f t="shared" si="0"/>
        <v>6148.1404949737498</v>
      </c>
      <c r="S7" s="93">
        <f t="shared" si="0"/>
        <v>6443.2512387324905</v>
      </c>
      <c r="W7" s="96"/>
      <c r="X7" s="100">
        <v>2026</v>
      </c>
      <c r="Y7" s="100">
        <f>X7+1</f>
        <v>2027</v>
      </c>
      <c r="Z7" s="100">
        <f>Y7+1</f>
        <v>2028</v>
      </c>
      <c r="AA7" s="100">
        <f>Z7+1</f>
        <v>2029</v>
      </c>
      <c r="AB7" s="100">
        <f>AA7+1</f>
        <v>2030</v>
      </c>
      <c r="AC7" s="100">
        <f>AB7+1</f>
        <v>2031</v>
      </c>
      <c r="AE7" s="3" t="s">
        <v>82</v>
      </c>
      <c r="AF7" t="s">
        <v>156</v>
      </c>
      <c r="AG7" s="6">
        <v>500</v>
      </c>
      <c r="AO7" s="3" t="s">
        <v>82</v>
      </c>
      <c r="AP7" t="s">
        <v>156</v>
      </c>
      <c r="AQ7" s="6">
        <v>500</v>
      </c>
      <c r="AX7" s="3"/>
      <c r="AY7" s="95" t="s">
        <v>134</v>
      </c>
      <c r="AZ7" s="123">
        <v>1</v>
      </c>
      <c r="BA7" s="123">
        <f>AZ7+1</f>
        <v>2</v>
      </c>
      <c r="BB7" s="123">
        <f>BA7+1</f>
        <v>3</v>
      </c>
      <c r="BC7" s="123">
        <f>BB7+1</f>
        <v>4</v>
      </c>
      <c r="BD7" s="123">
        <f>BC7+1</f>
        <v>5</v>
      </c>
      <c r="BE7" s="123">
        <f>BD7+1</f>
        <v>6</v>
      </c>
      <c r="BG7" s="107"/>
      <c r="BH7" s="95"/>
      <c r="BI7" s="100">
        <v>1</v>
      </c>
      <c r="BJ7" s="100">
        <f>BI7+1</f>
        <v>2</v>
      </c>
      <c r="BK7" s="100">
        <f>BJ7+1</f>
        <v>3</v>
      </c>
      <c r="BL7" s="100">
        <f>BK7+1</f>
        <v>4</v>
      </c>
      <c r="BM7" s="100">
        <f>BL7+1</f>
        <v>5</v>
      </c>
      <c r="BN7" s="100">
        <f>BM7+1</f>
        <v>6</v>
      </c>
      <c r="BO7" s="95"/>
      <c r="BP7" s="3" t="s">
        <v>195</v>
      </c>
      <c r="BQ7" s="124" t="s">
        <v>196</v>
      </c>
      <c r="BR7" s="92">
        <v>-75000</v>
      </c>
      <c r="BS7" s="92">
        <v>14900</v>
      </c>
      <c r="BT7" s="92">
        <v>18739</v>
      </c>
      <c r="BU7" s="92">
        <v>13657</v>
      </c>
      <c r="BV7" s="92">
        <v>10264</v>
      </c>
      <c r="BW7" s="92">
        <v>25111</v>
      </c>
      <c r="BX7" s="95"/>
      <c r="BY7" s="3"/>
      <c r="BZ7" s="95"/>
      <c r="CA7" s="119"/>
      <c r="CB7" s="128" t="s">
        <v>160</v>
      </c>
      <c r="CC7" s="129"/>
      <c r="CD7" s="129"/>
      <c r="CE7" s="129"/>
      <c r="CF7" s="130"/>
      <c r="CH7" s="3" t="s">
        <v>151</v>
      </c>
      <c r="CI7" t="s">
        <v>152</v>
      </c>
      <c r="CJ7" s="92">
        <v>327000</v>
      </c>
    </row>
    <row r="8" spans="1:89" x14ac:dyDescent="0.25">
      <c r="A8" s="3" t="s">
        <v>7</v>
      </c>
      <c r="B8" t="s">
        <v>157</v>
      </c>
      <c r="C8" s="92">
        <v>5015</v>
      </c>
      <c r="L8" s="109" t="s">
        <v>163</v>
      </c>
      <c r="M8" s="17" t="s">
        <v>152</v>
      </c>
      <c r="S8" s="93">
        <f>FVSCHEDULE(N7,N6:R6)</f>
        <v>6443.2512387324905</v>
      </c>
      <c r="W8" s="112" t="s">
        <v>168</v>
      </c>
      <c r="X8" s="113">
        <v>5015</v>
      </c>
      <c r="Y8" s="114">
        <f>X8*(1+$X$5)</f>
        <v>5265.75</v>
      </c>
      <c r="Z8" s="114">
        <f t="shared" ref="Z8:AC8" si="1">Y8*(1+$X$5)</f>
        <v>5529.0375000000004</v>
      </c>
      <c r="AA8" s="114">
        <f t="shared" si="1"/>
        <v>5805.489375000001</v>
      </c>
      <c r="AB8" s="114">
        <f t="shared" si="1"/>
        <v>6095.7638437500009</v>
      </c>
      <c r="AC8" s="114">
        <f t="shared" si="1"/>
        <v>6400.5520359375014</v>
      </c>
      <c r="AE8" s="3" t="s">
        <v>9</v>
      </c>
      <c r="AF8" t="s">
        <v>152</v>
      </c>
      <c r="AG8" s="92">
        <v>22500</v>
      </c>
      <c r="AO8" s="3" t="s">
        <v>9</v>
      </c>
      <c r="AP8" t="s">
        <v>152</v>
      </c>
      <c r="AQ8" s="92">
        <v>22500</v>
      </c>
      <c r="AX8" s="3" t="s">
        <v>183</v>
      </c>
      <c r="AY8" s="124" t="s">
        <v>184</v>
      </c>
      <c r="AZ8" s="92">
        <v>-69500</v>
      </c>
      <c r="BA8" s="92">
        <v>14900</v>
      </c>
      <c r="BB8" s="92">
        <v>18739</v>
      </c>
      <c r="BC8" s="92">
        <v>13657</v>
      </c>
      <c r="BD8" s="92">
        <v>10264</v>
      </c>
      <c r="BE8" s="92">
        <v>15111</v>
      </c>
      <c r="BG8" s="3" t="s">
        <v>195</v>
      </c>
      <c r="BH8" s="124" t="s">
        <v>196</v>
      </c>
      <c r="BI8" s="92">
        <v>-75000</v>
      </c>
      <c r="BJ8" s="92">
        <v>14900</v>
      </c>
      <c r="BK8" s="92">
        <v>18739</v>
      </c>
      <c r="BL8" s="92">
        <v>13657</v>
      </c>
      <c r="BM8" s="92">
        <v>10264</v>
      </c>
      <c r="BN8" s="92">
        <v>25111</v>
      </c>
      <c r="BO8" s="95"/>
      <c r="BQ8" t="s">
        <v>197</v>
      </c>
      <c r="BR8" s="132">
        <f>IRR(BR7:BW7)</f>
        <v>3.1817704471176489E-2</v>
      </c>
      <c r="BY8" s="3"/>
      <c r="BZ8" s="95" t="s">
        <v>134</v>
      </c>
      <c r="CA8" s="100">
        <v>1</v>
      </c>
      <c r="CB8" s="100">
        <f>CA8+1</f>
        <v>2</v>
      </c>
      <c r="CC8" s="100">
        <f>CB8+1</f>
        <v>3</v>
      </c>
      <c r="CD8" s="100">
        <f>CC8+1</f>
        <v>4</v>
      </c>
      <c r="CE8" s="100">
        <f>CD8+1</f>
        <v>5</v>
      </c>
      <c r="CF8" s="100">
        <f>CE8+1</f>
        <v>6</v>
      </c>
    </row>
    <row r="9" spans="1:89" x14ac:dyDescent="0.25">
      <c r="A9" s="3" t="s">
        <v>11</v>
      </c>
      <c r="C9" s="7">
        <v>0</v>
      </c>
      <c r="S9" t="str">
        <f ca="1">_xlfn.FORMULATEXT(S8)</f>
        <v>=FVSCHEDULE(N7,N6:R6)</v>
      </c>
      <c r="AE9" s="3" t="s">
        <v>11</v>
      </c>
      <c r="AG9" s="7">
        <v>0</v>
      </c>
      <c r="AO9" s="3" t="s">
        <v>11</v>
      </c>
      <c r="AQ9" s="7">
        <v>0</v>
      </c>
      <c r="AX9" t="s">
        <v>179</v>
      </c>
      <c r="AY9" t="s">
        <v>180</v>
      </c>
      <c r="AZ9" s="93">
        <f>NPV(AZ5,AZ8:BE8)</f>
        <v>-7719.4839108171427</v>
      </c>
      <c r="BH9" t="s">
        <v>197</v>
      </c>
      <c r="BI9" s="132">
        <f>IRR(BI8:BN8,BI5)</f>
        <v>3.1817704471176489E-2</v>
      </c>
      <c r="BY9" s="3" t="s">
        <v>195</v>
      </c>
      <c r="BZ9" s="124" t="s">
        <v>196</v>
      </c>
      <c r="CA9" s="92">
        <v>-75000</v>
      </c>
      <c r="CB9" s="92">
        <v>14900</v>
      </c>
      <c r="CC9" s="92">
        <v>18739</v>
      </c>
      <c r="CD9" s="92">
        <v>13657</v>
      </c>
      <c r="CE9" s="92">
        <v>10264</v>
      </c>
      <c r="CF9" s="92">
        <v>25111</v>
      </c>
      <c r="CH9" t="s">
        <v>210</v>
      </c>
      <c r="CI9" t="s">
        <v>213</v>
      </c>
      <c r="CJ9" s="135">
        <f>_xlfn.RRI(CJ5,CJ6,CJ7)</f>
        <v>0.13609407928934325</v>
      </c>
    </row>
    <row r="10" spans="1:89" x14ac:dyDescent="0.25">
      <c r="A10" s="3"/>
      <c r="W10" s="90" t="s">
        <v>158</v>
      </c>
      <c r="X10" s="90"/>
      <c r="AO10" s="3"/>
      <c r="BP10" s="107" t="s">
        <v>87</v>
      </c>
      <c r="BR10" s="26">
        <v>0.1</v>
      </c>
      <c r="BS10" s="95"/>
      <c r="BT10" s="95"/>
      <c r="BU10" s="95"/>
      <c r="BV10" s="95"/>
      <c r="BW10" s="95"/>
      <c r="BX10" s="95"/>
      <c r="BY10" t="s">
        <v>202</v>
      </c>
      <c r="BZ10" s="95" t="s">
        <v>209</v>
      </c>
      <c r="CA10" s="132">
        <f>MIRR(CA9:CF9,CA5,CA6)</f>
        <v>3.7108830130646142E-2</v>
      </c>
    </row>
    <row r="11" spans="1:89" x14ac:dyDescent="0.25">
      <c r="A11" t="s">
        <v>151</v>
      </c>
      <c r="B11" t="s">
        <v>152</v>
      </c>
      <c r="C11" s="93">
        <f>FV(C5,C6,C7,C8,C9)*-1</f>
        <v>6400.5520359375005</v>
      </c>
      <c r="D11" t="str">
        <f ca="1">_xlfn.FORMULATEXT(C11)</f>
        <v>=FV(C5,C6,C7,C8,C9)*-1</v>
      </c>
      <c r="W11" s="96" t="s">
        <v>174</v>
      </c>
      <c r="X11" s="26">
        <v>0.05</v>
      </c>
      <c r="Y11" s="95"/>
      <c r="Z11" s="95"/>
      <c r="AA11" s="95"/>
      <c r="AB11" s="95"/>
      <c r="AC11" s="95"/>
      <c r="AE11" t="s">
        <v>176</v>
      </c>
      <c r="AF11" t="s">
        <v>157</v>
      </c>
      <c r="AG11" s="93">
        <f>PV(AG5,AG6,AG7,AG8,AG9)*-1</f>
        <v>19327.692457957844</v>
      </c>
      <c r="AH11" t="str">
        <f ca="1">_xlfn.FORMULATEXT(AG11)</f>
        <v>=PV(AG5,AG6,AG7,AG8,AG9)*-1</v>
      </c>
      <c r="AO11" t="s">
        <v>176</v>
      </c>
      <c r="AP11" t="s">
        <v>157</v>
      </c>
      <c r="AQ11" s="93">
        <f>PV(AQ5,AQ6,AQ7,AQ8,AQ9)*-1</f>
        <v>19327.692457957844</v>
      </c>
      <c r="AX11" s="3" t="s">
        <v>3</v>
      </c>
      <c r="AY11" t="s">
        <v>193</v>
      </c>
      <c r="AZ11" s="26">
        <v>0.05</v>
      </c>
      <c r="BA11" s="95"/>
      <c r="BB11" s="95"/>
      <c r="BC11" s="95"/>
      <c r="BD11" s="95"/>
      <c r="BE11" s="95"/>
      <c r="BP11" s="3"/>
      <c r="BQ11" s="95"/>
      <c r="BR11" s="119"/>
      <c r="BS11" s="128" t="s">
        <v>160</v>
      </c>
      <c r="BT11" s="129"/>
      <c r="BU11" s="129"/>
      <c r="BV11" s="129"/>
      <c r="BW11" s="130"/>
      <c r="BX11" s="95"/>
    </row>
    <row r="12" spans="1:89" ht="24" x14ac:dyDescent="0.4">
      <c r="A12" s="94"/>
      <c r="B12" s="95"/>
      <c r="C12" s="95"/>
      <c r="D12" s="95"/>
      <c r="E12" s="95"/>
      <c r="F12" s="95"/>
      <c r="G12" s="95"/>
      <c r="H12" s="95"/>
      <c r="W12" s="96"/>
      <c r="X12" s="110" t="s">
        <v>159</v>
      </c>
      <c r="Y12" s="111" t="s">
        <v>160</v>
      </c>
      <c r="Z12" s="111"/>
      <c r="AA12" s="111"/>
      <c r="AB12" s="111"/>
      <c r="AC12" s="111"/>
      <c r="AF12" s="9"/>
      <c r="AG12" s="9"/>
      <c r="AH12" s="9"/>
      <c r="AO12" s="3"/>
      <c r="AP12" s="9"/>
      <c r="AQ12" s="9" t="str">
        <f ca="1">_xlfn.FORMULATEXT(AQ11)</f>
        <v>=PV(AQ5,AQ6,AQ7,AQ8,AQ9)*-1</v>
      </c>
      <c r="AR12" s="9"/>
      <c r="AX12" s="107"/>
      <c r="AZ12" s="119"/>
      <c r="BA12" s="128" t="s">
        <v>160</v>
      </c>
      <c r="BB12" s="129"/>
      <c r="BC12" s="129"/>
      <c r="BD12" s="129"/>
      <c r="BE12" s="130"/>
      <c r="BP12" s="107" t="s">
        <v>194</v>
      </c>
      <c r="BR12" s="133">
        <v>45658</v>
      </c>
      <c r="BS12" s="133">
        <v>45821</v>
      </c>
      <c r="BT12" s="133">
        <v>45944</v>
      </c>
      <c r="BU12" s="133">
        <v>45997</v>
      </c>
      <c r="BV12" s="133">
        <v>46282</v>
      </c>
      <c r="BW12" s="133">
        <v>46427</v>
      </c>
      <c r="BX12" s="95"/>
    </row>
    <row r="13" spans="1:89" x14ac:dyDescent="0.25">
      <c r="A13" s="90" t="s">
        <v>158</v>
      </c>
      <c r="B13" s="90"/>
      <c r="C13" s="90"/>
      <c r="W13" s="96"/>
      <c r="X13" s="100"/>
      <c r="Y13" s="100" cm="1">
        <f t="array" ref="Y13:AC13">_xlfn.SEQUENCE(,5)</f>
        <v>1</v>
      </c>
      <c r="Z13" s="100">
        <v>2</v>
      </c>
      <c r="AA13" s="100">
        <v>3</v>
      </c>
      <c r="AB13" s="100">
        <v>4</v>
      </c>
      <c r="AC13" s="100">
        <v>5</v>
      </c>
      <c r="AO13" s="90" t="s">
        <v>158</v>
      </c>
      <c r="AP13" s="90"/>
      <c r="AQ13" s="90"/>
      <c r="AX13" s="107" t="s">
        <v>194</v>
      </c>
      <c r="AZ13" s="131">
        <v>45658</v>
      </c>
      <c r="BA13" s="131">
        <v>45821</v>
      </c>
      <c r="BB13" s="131">
        <v>45944</v>
      </c>
      <c r="BC13" s="131">
        <v>45997</v>
      </c>
      <c r="BD13" s="131">
        <v>46282</v>
      </c>
      <c r="BE13" s="131">
        <v>46427</v>
      </c>
      <c r="BP13" s="3" t="s">
        <v>195</v>
      </c>
      <c r="BQ13" s="124" t="s">
        <v>196</v>
      </c>
      <c r="BR13" s="92">
        <v>-75000</v>
      </c>
      <c r="BS13" s="92">
        <v>14900</v>
      </c>
      <c r="BT13" s="92">
        <v>18739</v>
      </c>
      <c r="BU13" s="92">
        <v>13657</v>
      </c>
      <c r="BV13" s="92">
        <v>10264</v>
      </c>
      <c r="BW13" s="92">
        <v>25111</v>
      </c>
      <c r="BX13" s="95"/>
    </row>
    <row r="14" spans="1:89" x14ac:dyDescent="0.25">
      <c r="B14" t="s">
        <v>4</v>
      </c>
      <c r="C14" s="26">
        <v>0.05</v>
      </c>
      <c r="D14" s="95"/>
      <c r="E14" s="95"/>
      <c r="F14" s="95"/>
      <c r="G14" s="95"/>
      <c r="H14" s="95"/>
      <c r="I14" s="95"/>
      <c r="W14" s="96"/>
      <c r="X14" s="100">
        <v>2026</v>
      </c>
      <c r="Y14" s="100" cm="1">
        <f t="array" ref="Y14:AC14">X14+_xlfn.ANCHORARRAY(Y13)</f>
        <v>2027</v>
      </c>
      <c r="Z14" s="100">
        <v>2028</v>
      </c>
      <c r="AA14" s="100">
        <v>2029</v>
      </c>
      <c r="AB14" s="100">
        <v>2030</v>
      </c>
      <c r="AC14" s="100">
        <v>2031</v>
      </c>
      <c r="AO14" s="3" t="s">
        <v>3</v>
      </c>
      <c r="AP14" t="s">
        <v>4</v>
      </c>
      <c r="AQ14" s="26">
        <v>0.05</v>
      </c>
      <c r="AR14" s="95"/>
      <c r="AS14" s="95"/>
      <c r="AT14" s="95"/>
      <c r="AU14" s="95"/>
      <c r="AV14" s="95"/>
      <c r="AX14" s="3" t="s">
        <v>195</v>
      </c>
      <c r="AY14" s="124" t="s">
        <v>196</v>
      </c>
      <c r="AZ14" s="92">
        <v>-75000</v>
      </c>
      <c r="BA14" s="92">
        <v>14900</v>
      </c>
      <c r="BB14" s="92">
        <v>18739</v>
      </c>
      <c r="BC14" s="92">
        <v>13657</v>
      </c>
      <c r="BD14" s="92">
        <v>10264</v>
      </c>
      <c r="BE14" s="92">
        <v>25111</v>
      </c>
      <c r="BQ14" t="s">
        <v>200</v>
      </c>
      <c r="BR14" s="132">
        <f>XIRR(BR13:BW13,BR12:BW12,BR10)</f>
        <v>8.12262684106827E-2</v>
      </c>
    </row>
    <row r="15" spans="1:89" x14ac:dyDescent="0.25">
      <c r="B15" s="96"/>
      <c r="C15" s="97" t="s">
        <v>159</v>
      </c>
      <c r="D15" s="98" t="s">
        <v>160</v>
      </c>
      <c r="E15" s="98"/>
      <c r="F15" s="98"/>
      <c r="G15" s="98"/>
      <c r="H15" s="98"/>
      <c r="I15" s="95"/>
      <c r="J15" s="99" t="s">
        <v>151</v>
      </c>
      <c r="W15" s="112" t="s">
        <v>168</v>
      </c>
      <c r="X15" s="113">
        <v>5015</v>
      </c>
      <c r="Y15" s="115" cm="1">
        <f t="array" ref="Y15:AC15">X15*(1+X11)^_xlfn.ANCHORARRAY(Y13)</f>
        <v>5265.75</v>
      </c>
      <c r="Z15" s="115">
        <v>5529.0375000000004</v>
      </c>
      <c r="AA15" s="115">
        <v>5805.489375000001</v>
      </c>
      <c r="AB15" s="115">
        <v>6095.76384375</v>
      </c>
      <c r="AC15" s="115">
        <v>6400.5520359375005</v>
      </c>
      <c r="AO15" s="3"/>
      <c r="AP15" s="95"/>
      <c r="AQ15" s="119" t="s">
        <v>182</v>
      </c>
      <c r="AR15" s="120" t="s">
        <v>160</v>
      </c>
      <c r="AS15" s="121"/>
      <c r="AT15" s="121"/>
      <c r="AU15" s="121"/>
      <c r="AV15" s="122"/>
      <c r="AX15" t="s">
        <v>191</v>
      </c>
      <c r="AY15" t="s">
        <v>180</v>
      </c>
      <c r="AZ15" s="93">
        <f>XNPV(AZ11,AZ14:BE14,AZ13:BE13)</f>
        <v>2767.5290508602739</v>
      </c>
    </row>
    <row r="16" spans="1:89" x14ac:dyDescent="0.25">
      <c r="B16" s="96"/>
      <c r="C16" s="100">
        <v>2024</v>
      </c>
      <c r="D16" s="100">
        <f>C16+1</f>
        <v>2025</v>
      </c>
      <c r="E16" s="100">
        <f>D16+1</f>
        <v>2026</v>
      </c>
      <c r="F16" s="100">
        <f>E16+1</f>
        <v>2027</v>
      </c>
      <c r="G16" s="100">
        <f>F16+1</f>
        <v>2028</v>
      </c>
      <c r="H16" s="100">
        <f>G16+1</f>
        <v>2029</v>
      </c>
      <c r="I16" s="95"/>
      <c r="J16" s="101"/>
      <c r="AO16" s="3"/>
      <c r="AP16" s="95" t="s">
        <v>134</v>
      </c>
      <c r="AQ16" s="123">
        <v>1</v>
      </c>
      <c r="AR16" s="123">
        <f>AQ16+1</f>
        <v>2</v>
      </c>
      <c r="AS16" s="123">
        <f>AR16+1</f>
        <v>3</v>
      </c>
      <c r="AT16" s="123">
        <f>AS16+1</f>
        <v>4</v>
      </c>
      <c r="AU16" s="123">
        <f>AT16+1</f>
        <v>5</v>
      </c>
      <c r="AV16" s="123">
        <f>AU16+1</f>
        <v>6</v>
      </c>
    </row>
    <row r="17" spans="2:49" x14ac:dyDescent="0.25">
      <c r="B17" s="102" t="s">
        <v>161</v>
      </c>
      <c r="C17" s="92">
        <v>5015</v>
      </c>
      <c r="D17" s="93">
        <f>C17*(1+$C$14)</f>
        <v>5265.75</v>
      </c>
      <c r="E17" s="93">
        <f t="shared" ref="E17:H17" si="2">D17*(1+$C$14)</f>
        <v>5529.0375000000004</v>
      </c>
      <c r="F17" s="93">
        <f t="shared" si="2"/>
        <v>5805.489375000001</v>
      </c>
      <c r="G17" s="93">
        <f t="shared" si="2"/>
        <v>6095.7638437500009</v>
      </c>
      <c r="H17" s="93">
        <f t="shared" si="2"/>
        <v>6400.5520359375014</v>
      </c>
      <c r="I17" s="95"/>
      <c r="J17" s="93">
        <f>FV(C14,H16-C16,,C17)*-1</f>
        <v>6400.5520359375005</v>
      </c>
      <c r="AO17" s="3" t="s">
        <v>183</v>
      </c>
      <c r="AP17" s="124" t="s">
        <v>184</v>
      </c>
      <c r="AQ17" s="93">
        <f>$AQ$7</f>
        <v>500</v>
      </c>
      <c r="AR17" s="93">
        <f t="shared" ref="AR17:AU17" si="3">$AQ$7</f>
        <v>500</v>
      </c>
      <c r="AS17" s="93">
        <f t="shared" si="3"/>
        <v>500</v>
      </c>
      <c r="AT17" s="93">
        <f t="shared" si="3"/>
        <v>500</v>
      </c>
      <c r="AU17" s="93">
        <f t="shared" si="3"/>
        <v>500</v>
      </c>
      <c r="AV17" s="93">
        <f>$AQ$7+AQ8</f>
        <v>23000</v>
      </c>
    </row>
    <row r="18" spans="2:49" x14ac:dyDescent="0.25">
      <c r="D18" t="str">
        <f ca="1">_xlfn.FORMULATEXT(D17)</f>
        <v>=C17*(1+$C$14)</v>
      </c>
      <c r="E18" t="str">
        <f ca="1">_xlfn.FORMULATEXT(E17)</f>
        <v>=D17*(1+$C$14)</v>
      </c>
      <c r="F18" t="str">
        <f ca="1">_xlfn.FORMULATEXT(F17)</f>
        <v>=E17*(1+$C$14)</v>
      </c>
      <c r="G18" t="str">
        <f ca="1">_xlfn.FORMULATEXT(G17)</f>
        <v>=F17*(1+$C$14)</v>
      </c>
      <c r="H18" t="str">
        <f ca="1">_xlfn.FORMULATEXT(H17)</f>
        <v>=G17*(1+$C$14)</v>
      </c>
      <c r="AO18" t="s">
        <v>179</v>
      </c>
      <c r="AP18" t="s">
        <v>180</v>
      </c>
      <c r="AQ18" s="93">
        <f>NPV(AQ14,AQ17:AV17)</f>
        <v>19327.692457957841</v>
      </c>
      <c r="AR18" s="93"/>
      <c r="AS18" s="93"/>
      <c r="AT18" s="93"/>
      <c r="AU18" s="93"/>
    </row>
    <row r="19" spans="2:49" x14ac:dyDescent="0.25">
      <c r="AQ19" t="str">
        <f ca="1">_xlfn.FORMULATEXT(AQ18)</f>
        <v>=NPV(AQ14,AQ17:AV17)</v>
      </c>
    </row>
    <row r="20" spans="2:49" x14ac:dyDescent="0.25">
      <c r="AO20" s="90" t="s">
        <v>185</v>
      </c>
      <c r="AP20" s="90"/>
      <c r="AQ20" s="90"/>
    </row>
    <row r="21" spans="2:49" x14ac:dyDescent="0.25">
      <c r="AO21" s="125" t="s">
        <v>186</v>
      </c>
      <c r="AP21" s="125"/>
      <c r="AQ21" s="125"/>
      <c r="AR21" s="125"/>
      <c r="AS21" s="125"/>
      <c r="AT21" s="125"/>
      <c r="AU21" s="125"/>
      <c r="AV21" s="125"/>
    </row>
    <row r="22" spans="2:49" x14ac:dyDescent="0.25">
      <c r="AO22" s="125" t="s">
        <v>187</v>
      </c>
      <c r="AP22" s="125"/>
      <c r="AQ22" s="125"/>
      <c r="AR22" s="125"/>
      <c r="AS22" s="125"/>
      <c r="AT22" s="125"/>
      <c r="AU22" s="125"/>
      <c r="AV22" s="125"/>
    </row>
    <row r="24" spans="2:49" x14ac:dyDescent="0.25">
      <c r="AO24" s="3" t="s">
        <v>3</v>
      </c>
      <c r="AP24" t="s">
        <v>188</v>
      </c>
      <c r="AQ24" s="26">
        <v>6.2E-2</v>
      </c>
      <c r="AR24" s="126" t="s">
        <v>189</v>
      </c>
      <c r="AS24" s="95"/>
      <c r="AT24" s="95"/>
      <c r="AU24" s="95"/>
      <c r="AV24" s="95"/>
    </row>
    <row r="25" spans="2:49" x14ac:dyDescent="0.25">
      <c r="AO25" s="3"/>
      <c r="AP25" s="95"/>
      <c r="AQ25" s="119" t="s">
        <v>182</v>
      </c>
      <c r="AR25" s="120" t="s">
        <v>160</v>
      </c>
      <c r="AS25" s="121"/>
      <c r="AT25" s="121"/>
      <c r="AU25" s="121"/>
      <c r="AV25" s="122"/>
    </row>
    <row r="26" spans="2:49" x14ac:dyDescent="0.25">
      <c r="AO26" s="3"/>
      <c r="AP26" s="95" t="s">
        <v>134</v>
      </c>
      <c r="AQ26" s="123">
        <v>1</v>
      </c>
      <c r="AR26" s="123">
        <f>AQ26+1</f>
        <v>2</v>
      </c>
      <c r="AS26" s="123">
        <f>AR26+1</f>
        <v>3</v>
      </c>
      <c r="AT26" s="123">
        <f>AS26+1</f>
        <v>4</v>
      </c>
      <c r="AU26" s="123">
        <f>AT26+1</f>
        <v>5</v>
      </c>
      <c r="AV26" s="123">
        <f>AU26+1</f>
        <v>6</v>
      </c>
    </row>
    <row r="27" spans="2:49" x14ac:dyDescent="0.25">
      <c r="AO27" s="3" t="s">
        <v>183</v>
      </c>
      <c r="AP27" s="124" t="s">
        <v>184</v>
      </c>
      <c r="AQ27" s="92">
        <v>-69500</v>
      </c>
      <c r="AR27" s="92">
        <v>14900</v>
      </c>
      <c r="AS27" s="92">
        <v>18739</v>
      </c>
      <c r="AT27" s="92">
        <v>13657</v>
      </c>
      <c r="AU27" s="92">
        <v>10264</v>
      </c>
      <c r="AV27" s="92">
        <v>15111</v>
      </c>
      <c r="AW27" s="75"/>
    </row>
    <row r="28" spans="2:49" x14ac:dyDescent="0.25">
      <c r="AO28" t="s">
        <v>179</v>
      </c>
      <c r="AP28" t="s">
        <v>180</v>
      </c>
      <c r="AQ28" s="93">
        <f>NPV(AQ24,AQ27:AV27)</f>
        <v>-7719.4839108171427</v>
      </c>
    </row>
  </sheetData>
  <mergeCells count="11">
    <mergeCell ref="AR25:AV25"/>
    <mergeCell ref="AR1:AV2"/>
    <mergeCell ref="AO2:AQ2"/>
    <mergeCell ref="BA6:BE6"/>
    <mergeCell ref="AE2:AG2"/>
    <mergeCell ref="B1:J2"/>
    <mergeCell ref="N1:U2"/>
    <mergeCell ref="L3:O3"/>
    <mergeCell ref="X1:AC2"/>
    <mergeCell ref="AH1:AL2"/>
    <mergeCell ref="AR15:AV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Loan</vt:lpstr>
      <vt:lpstr>Splitting</vt:lpstr>
      <vt:lpstr>Dynamic-Splitting</vt:lpstr>
      <vt:lpstr>Depreciation</vt:lpstr>
      <vt:lpstr>Depreciation-Dynamic-Splitting</vt:lpstr>
      <vt:lpstr>Value&amp;Rate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Chopra</dc:creator>
  <cp:lastModifiedBy>Manu Chopra</cp:lastModifiedBy>
  <dcterms:created xsi:type="dcterms:W3CDTF">2025-05-13T05:47:08Z</dcterms:created>
  <dcterms:modified xsi:type="dcterms:W3CDTF">2025-05-13T10:52:29Z</dcterms:modified>
</cp:coreProperties>
</file>