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376" yWindow="-2520" windowWidth="29016" windowHeight="15840"/>
  </bookViews>
  <sheets>
    <sheet name="Memória de Cálculo" sheetId="1" r:id="rId1"/>
    <sheet name="Montantes" sheetId="3" state="hidden" r:id="rId2"/>
    <sheet name="Preços - Mineração Ipueira" sheetId="5" state="hidden" r:id="rId3"/>
    <sheet name="Preços - Pojuca" sheetId="6" r:id="rId4"/>
    <sheet name="Curva de Preços SPOT" sheetId="2" state="hidden" r:id="rId5"/>
    <sheet name="Energia Aux - Met" sheetId="4" state="hidden" r:id="rId6"/>
    <sheet name="Preços" sheetId="7" state="hidden" r:id="rId7"/>
    <sheet name="Encargos Mineração" sheetId="8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5" l="1"/>
  <c r="N18" i="5"/>
  <c r="M18" i="5"/>
  <c r="L18" i="5"/>
  <c r="K18" i="5"/>
  <c r="J18" i="5"/>
  <c r="I18" i="5"/>
  <c r="H18" i="5"/>
  <c r="G18" i="5"/>
  <c r="F18" i="5"/>
  <c r="E18" i="5"/>
  <c r="D18" i="5"/>
  <c r="C18" i="5"/>
  <c r="M77" i="1"/>
  <c r="L77" i="1"/>
  <c r="K77" i="1"/>
  <c r="J77" i="1"/>
  <c r="I77" i="1"/>
  <c r="H77" i="1"/>
  <c r="G77" i="1"/>
  <c r="F77" i="1"/>
  <c r="E77" i="1"/>
  <c r="D77" i="1"/>
  <c r="C77" i="1"/>
  <c r="B77" i="1"/>
  <c r="B75" i="1"/>
  <c r="B73" i="1"/>
  <c r="B65" i="1"/>
  <c r="M50" i="1"/>
  <c r="L50" i="1"/>
  <c r="K50" i="1"/>
  <c r="J50" i="1"/>
  <c r="I50" i="1"/>
  <c r="H50" i="1"/>
  <c r="G50" i="1"/>
  <c r="F50" i="1"/>
  <c r="E50" i="1"/>
  <c r="D50" i="1"/>
  <c r="C50" i="1"/>
  <c r="B50" i="1"/>
  <c r="B48" i="1"/>
  <c r="B44" i="1"/>
  <c r="B43" i="1"/>
  <c r="B42" i="1"/>
  <c r="B41" i="1"/>
  <c r="B39" i="1"/>
  <c r="M22" i="1"/>
  <c r="L22" i="1"/>
  <c r="K22" i="1"/>
  <c r="J22" i="1"/>
  <c r="I22" i="1"/>
  <c r="H22" i="1"/>
  <c r="G22" i="1"/>
  <c r="F22" i="1"/>
  <c r="E22" i="1"/>
  <c r="D22" i="1"/>
  <c r="C22" i="1"/>
  <c r="B18" i="1" l="1"/>
  <c r="C62" i="1" l="1"/>
  <c r="D62" i="1"/>
  <c r="E62" i="1"/>
  <c r="F62" i="1"/>
  <c r="G62" i="1"/>
  <c r="H62" i="1"/>
  <c r="I62" i="1"/>
  <c r="J62" i="1"/>
  <c r="K62" i="1"/>
  <c r="L62" i="1"/>
  <c r="M62" i="1"/>
  <c r="B62" i="1"/>
  <c r="F30" i="6" l="1"/>
  <c r="E30" i="6"/>
  <c r="D30" i="6"/>
  <c r="C30" i="6"/>
  <c r="F28" i="6"/>
  <c r="E28" i="6"/>
  <c r="D28" i="6"/>
  <c r="C28" i="6"/>
  <c r="F26" i="6"/>
  <c r="E26" i="6"/>
  <c r="D26" i="6"/>
  <c r="C26" i="6"/>
  <c r="F24" i="6"/>
  <c r="E24" i="6"/>
  <c r="D24" i="6"/>
  <c r="C24" i="6"/>
  <c r="C20" i="1"/>
  <c r="D20" i="1"/>
  <c r="E20" i="1"/>
  <c r="F20" i="1"/>
  <c r="G20" i="1"/>
  <c r="H20" i="1"/>
  <c r="I20" i="1"/>
  <c r="J20" i="1"/>
  <c r="K20" i="1"/>
  <c r="L20" i="1"/>
  <c r="M20" i="1"/>
  <c r="B20" i="1"/>
  <c r="F44" i="5"/>
  <c r="E44" i="5"/>
  <c r="D44" i="5"/>
  <c r="C44" i="5"/>
  <c r="L8" i="6"/>
  <c r="M8" i="6"/>
  <c r="N8" i="6"/>
  <c r="L14" i="6"/>
  <c r="C8" i="6"/>
  <c r="D8" i="6"/>
  <c r="E8" i="6"/>
  <c r="F8" i="6"/>
  <c r="G8" i="6"/>
  <c r="H8" i="6"/>
  <c r="I8" i="6"/>
  <c r="J8" i="6"/>
  <c r="K8" i="6"/>
  <c r="D14" i="6"/>
  <c r="H14" i="6"/>
  <c r="C14" i="6"/>
  <c r="D34" i="5"/>
  <c r="E34" i="5"/>
  <c r="F34" i="5"/>
  <c r="G34" i="5"/>
  <c r="H34" i="5"/>
  <c r="I34" i="5"/>
  <c r="J34" i="5"/>
  <c r="K34" i="5"/>
  <c r="L34" i="5"/>
  <c r="M34" i="5"/>
  <c r="N34" i="5"/>
  <c r="C34" i="5"/>
  <c r="C23" i="5"/>
  <c r="D2" i="5"/>
  <c r="D4" i="5"/>
  <c r="E4" i="5"/>
  <c r="E12" i="5" s="1"/>
  <c r="F4" i="5"/>
  <c r="F12" i="5" s="1"/>
  <c r="G4" i="5"/>
  <c r="G12" i="5" s="1"/>
  <c r="H4" i="5"/>
  <c r="H12" i="5" s="1"/>
  <c r="I4" i="5"/>
  <c r="I12" i="5" s="1"/>
  <c r="J4" i="5"/>
  <c r="J12" i="5" s="1"/>
  <c r="K4" i="5"/>
  <c r="K12" i="5" s="1"/>
  <c r="L4" i="5"/>
  <c r="L12" i="5" s="1"/>
  <c r="M4" i="5"/>
  <c r="M12" i="5" s="1"/>
  <c r="N4" i="5"/>
  <c r="N12" i="5" s="1"/>
  <c r="D5" i="5"/>
  <c r="D13" i="5" s="1"/>
  <c r="E5" i="5"/>
  <c r="E13" i="5" s="1"/>
  <c r="F5" i="5"/>
  <c r="F13" i="5" s="1"/>
  <c r="G5" i="5"/>
  <c r="G13" i="5" s="1"/>
  <c r="H5" i="5"/>
  <c r="H13" i="5" s="1"/>
  <c r="I5" i="5"/>
  <c r="I13" i="5" s="1"/>
  <c r="J5" i="5"/>
  <c r="J13" i="5" s="1"/>
  <c r="K5" i="5"/>
  <c r="K13" i="5" s="1"/>
  <c r="L5" i="5"/>
  <c r="L13" i="5" s="1"/>
  <c r="M5" i="5"/>
  <c r="M13" i="5" s="1"/>
  <c r="N5" i="5"/>
  <c r="N13" i="5" s="1"/>
  <c r="C5" i="5"/>
  <c r="C4" i="5"/>
  <c r="E8" i="3"/>
  <c r="F8" i="3"/>
  <c r="G8" i="3"/>
  <c r="H8" i="3"/>
  <c r="I8" i="3"/>
  <c r="J8" i="3"/>
  <c r="K8" i="3"/>
  <c r="L8" i="3"/>
  <c r="M8" i="3"/>
  <c r="N8" i="3"/>
  <c r="O8" i="3"/>
  <c r="D8" i="3"/>
  <c r="C49" i="1"/>
  <c r="D49" i="1"/>
  <c r="E14" i="6" s="1"/>
  <c r="E49" i="1"/>
  <c r="F14" i="6" s="1"/>
  <c r="F49" i="1"/>
  <c r="G14" i="6" s="1"/>
  <c r="G49" i="1"/>
  <c r="H49" i="1"/>
  <c r="I14" i="6" s="1"/>
  <c r="I49" i="1"/>
  <c r="J14" i="6" s="1"/>
  <c r="J49" i="1"/>
  <c r="K14" i="6" s="1"/>
  <c r="K49" i="1"/>
  <c r="L49" i="1"/>
  <c r="M14" i="6" s="1"/>
  <c r="M49" i="1"/>
  <c r="N14" i="6" s="1"/>
  <c r="B49" i="1"/>
  <c r="H76" i="1"/>
  <c r="I76" i="1"/>
  <c r="J76" i="1"/>
  <c r="K76" i="1"/>
  <c r="L76" i="1"/>
  <c r="M76" i="1"/>
  <c r="C76" i="1"/>
  <c r="D76" i="1"/>
  <c r="E76" i="1"/>
  <c r="F76" i="1"/>
  <c r="G76" i="1"/>
  <c r="B76" i="1"/>
  <c r="C71" i="1"/>
  <c r="D23" i="5" s="1"/>
  <c r="D71" i="1"/>
  <c r="E23" i="5" s="1"/>
  <c r="E71" i="1"/>
  <c r="F23" i="5" s="1"/>
  <c r="F71" i="1"/>
  <c r="G23" i="5" s="1"/>
  <c r="G71" i="1"/>
  <c r="H23" i="5" s="1"/>
  <c r="H71" i="1"/>
  <c r="I23" i="5" s="1"/>
  <c r="I71" i="1"/>
  <c r="J23" i="5" s="1"/>
  <c r="J71" i="1"/>
  <c r="K23" i="5" s="1"/>
  <c r="K71" i="1"/>
  <c r="L23" i="5" s="1"/>
  <c r="L71" i="1"/>
  <c r="M23" i="5" s="1"/>
  <c r="M71" i="1"/>
  <c r="N23" i="5" s="1"/>
  <c r="C72" i="1"/>
  <c r="D24" i="5" s="1"/>
  <c r="D72" i="1"/>
  <c r="E24" i="5" s="1"/>
  <c r="E72" i="1"/>
  <c r="F24" i="5" s="1"/>
  <c r="F72" i="1"/>
  <c r="G24" i="5" s="1"/>
  <c r="G72" i="1"/>
  <c r="H24" i="5" s="1"/>
  <c r="H72" i="1"/>
  <c r="I24" i="5" s="1"/>
  <c r="I72" i="1"/>
  <c r="J24" i="5" s="1"/>
  <c r="J72" i="1"/>
  <c r="K24" i="5" s="1"/>
  <c r="K72" i="1"/>
  <c r="L24" i="5" s="1"/>
  <c r="L72" i="1"/>
  <c r="M24" i="5" s="1"/>
  <c r="M72" i="1"/>
  <c r="N24" i="5" s="1"/>
  <c r="B72" i="1"/>
  <c r="C24" i="5" s="1"/>
  <c r="B71" i="1"/>
  <c r="C24" i="8"/>
  <c r="D24" i="8"/>
  <c r="E24" i="8"/>
  <c r="C25" i="8"/>
  <c r="D25" i="8"/>
  <c r="E25" i="8"/>
  <c r="D19" i="8"/>
  <c r="E19" i="8"/>
  <c r="D20" i="8"/>
  <c r="E20" i="8"/>
  <c r="C20" i="8"/>
  <c r="C19" i="8"/>
  <c r="D15" i="8"/>
  <c r="E15" i="8"/>
  <c r="D16" i="8"/>
  <c r="E16" i="8"/>
  <c r="C16" i="8"/>
  <c r="C15" i="8"/>
  <c r="F19" i="8"/>
  <c r="G19" i="8"/>
  <c r="H19" i="8"/>
  <c r="I19" i="8"/>
  <c r="J19" i="8"/>
  <c r="K19" i="8"/>
  <c r="L19" i="8"/>
  <c r="M19" i="8"/>
  <c r="N19" i="8"/>
  <c r="F20" i="8"/>
  <c r="G20" i="8"/>
  <c r="H20" i="8"/>
  <c r="I20" i="8"/>
  <c r="J20" i="8"/>
  <c r="K20" i="8"/>
  <c r="L20" i="8"/>
  <c r="M20" i="8"/>
  <c r="N20" i="8"/>
  <c r="F15" i="8"/>
  <c r="G15" i="8"/>
  <c r="H15" i="8"/>
  <c r="I15" i="8"/>
  <c r="J15" i="8"/>
  <c r="K15" i="8"/>
  <c r="L15" i="8"/>
  <c r="M15" i="8"/>
  <c r="N15" i="8"/>
  <c r="F16" i="8"/>
  <c r="G16" i="8"/>
  <c r="H16" i="8"/>
  <c r="I16" i="8"/>
  <c r="J16" i="8"/>
  <c r="K16" i="8"/>
  <c r="L16" i="8"/>
  <c r="M16" i="8"/>
  <c r="N16" i="8"/>
  <c r="S22" i="8"/>
  <c r="S21" i="8"/>
  <c r="D12" i="5" l="1"/>
  <c r="N12" i="8" l="1"/>
  <c r="M12" i="8"/>
  <c r="L12" i="8"/>
  <c r="K12" i="8"/>
  <c r="J12" i="8"/>
  <c r="I12" i="8"/>
  <c r="H12" i="8"/>
  <c r="G12" i="8"/>
  <c r="F12" i="8"/>
  <c r="E12" i="8"/>
  <c r="D12" i="8"/>
  <c r="C12" i="8"/>
  <c r="N11" i="8"/>
  <c r="N25" i="8" s="1"/>
  <c r="M11" i="8"/>
  <c r="M25" i="8" s="1"/>
  <c r="L11" i="8"/>
  <c r="K11" i="8"/>
  <c r="K25" i="8" s="1"/>
  <c r="J11" i="8"/>
  <c r="J25" i="8" s="1"/>
  <c r="I11" i="8"/>
  <c r="H11" i="8"/>
  <c r="H25" i="8" s="1"/>
  <c r="G11" i="8"/>
  <c r="G25" i="8" s="1"/>
  <c r="F11" i="8"/>
  <c r="E11" i="8"/>
  <c r="D11" i="8"/>
  <c r="C11" i="8"/>
  <c r="C40" i="1"/>
  <c r="D40" i="1"/>
  <c r="E40" i="1"/>
  <c r="F40" i="1"/>
  <c r="G40" i="1"/>
  <c r="H40" i="1"/>
  <c r="I40" i="1"/>
  <c r="J40" i="1"/>
  <c r="K40" i="1"/>
  <c r="L40" i="1"/>
  <c r="M40" i="1"/>
  <c r="B40" i="1"/>
  <c r="M21" i="3"/>
  <c r="N21" i="3"/>
  <c r="O21" i="3"/>
  <c r="M22" i="3"/>
  <c r="N22" i="3"/>
  <c r="O22" i="3"/>
  <c r="M23" i="3"/>
  <c r="N23" i="3"/>
  <c r="O23" i="3"/>
  <c r="M24" i="3"/>
  <c r="N24" i="3"/>
  <c r="O24" i="3"/>
  <c r="M12" i="3"/>
  <c r="N12" i="3"/>
  <c r="O12" i="3"/>
  <c r="M13" i="3"/>
  <c r="N13" i="3"/>
  <c r="O13" i="3"/>
  <c r="M9" i="3"/>
  <c r="N9" i="3"/>
  <c r="O9" i="3"/>
  <c r="M5" i="3"/>
  <c r="M6" i="3" s="1"/>
  <c r="N5" i="3"/>
  <c r="N6" i="3" s="1"/>
  <c r="O5" i="3"/>
  <c r="O6" i="3" s="1"/>
  <c r="D18" i="1"/>
  <c r="E18" i="1"/>
  <c r="F18" i="1"/>
  <c r="G18" i="1"/>
  <c r="H18" i="1"/>
  <c r="I18" i="1"/>
  <c r="J18" i="1"/>
  <c r="K18" i="1"/>
  <c r="L18" i="1"/>
  <c r="M18" i="1"/>
  <c r="O69" i="4"/>
  <c r="G69" i="4" s="1"/>
  <c r="O68" i="4"/>
  <c r="G68" i="4" s="1"/>
  <c r="O67" i="4"/>
  <c r="G67" i="4" s="1"/>
  <c r="O66" i="4"/>
  <c r="G66" i="4" s="1"/>
  <c r="O65" i="4"/>
  <c r="G65" i="4" s="1"/>
  <c r="K69" i="4"/>
  <c r="K68" i="4"/>
  <c r="K67" i="4"/>
  <c r="K66" i="4"/>
  <c r="K65" i="4"/>
  <c r="C69" i="4"/>
  <c r="C68" i="4"/>
  <c r="C67" i="4"/>
  <c r="C66" i="4"/>
  <c r="C65" i="4"/>
  <c r="K64" i="4"/>
  <c r="O64" i="4"/>
  <c r="C64" i="4"/>
  <c r="G24" i="8" l="1"/>
  <c r="H24" i="8"/>
  <c r="L24" i="8"/>
  <c r="C30" i="8"/>
  <c r="I24" i="8"/>
  <c r="F30" i="8"/>
  <c r="K24" i="8"/>
  <c r="D30" i="8"/>
  <c r="J24" i="8"/>
  <c r="N24" i="8"/>
  <c r="C31" i="8"/>
  <c r="E31" i="8"/>
  <c r="I25" i="8"/>
  <c r="L25" i="8"/>
  <c r="F31" i="8"/>
  <c r="D31" i="8"/>
  <c r="F25" i="8"/>
  <c r="M24" i="8"/>
  <c r="E30" i="8"/>
  <c r="F24" i="8"/>
  <c r="P63" i="4"/>
  <c r="O63" i="4"/>
  <c r="L63" i="4"/>
  <c r="K63" i="4"/>
  <c r="D63" i="4"/>
  <c r="C63" i="4"/>
  <c r="E64" i="4"/>
  <c r="H64" i="4"/>
  <c r="Q64" i="4"/>
  <c r="X64" i="4" s="1"/>
  <c r="Q68" i="4"/>
  <c r="X68" i="4" s="1"/>
  <c r="H6" i="7"/>
  <c r="H7" i="7"/>
  <c r="H8" i="7"/>
  <c r="H5" i="7"/>
  <c r="E68" i="4" l="1"/>
  <c r="M67" i="4"/>
  <c r="I66" i="4"/>
  <c r="M69" i="4"/>
  <c r="H66" i="4"/>
  <c r="E69" i="4"/>
  <c r="H67" i="4"/>
  <c r="E67" i="4"/>
  <c r="G64" i="4"/>
  <c r="H69" i="4"/>
  <c r="H68" i="4"/>
  <c r="M66" i="4"/>
  <c r="E66" i="4"/>
  <c r="M65" i="4"/>
  <c r="Q66" i="4"/>
  <c r="X66" i="4" s="1"/>
  <c r="H65" i="4"/>
  <c r="E65" i="4"/>
  <c r="M68" i="4"/>
  <c r="T68" i="4" s="1"/>
  <c r="I64" i="4"/>
  <c r="S64" i="4" s="1"/>
  <c r="V64" i="4"/>
  <c r="Q69" i="4"/>
  <c r="Q67" i="4"/>
  <c r="Q65" i="4"/>
  <c r="M64" i="4"/>
  <c r="T64" i="4" s="1"/>
  <c r="S66" i="4" l="1"/>
  <c r="I69" i="4"/>
  <c r="V66" i="4"/>
  <c r="I68" i="4"/>
  <c r="S68" i="4" s="1"/>
  <c r="I65" i="4"/>
  <c r="S65" i="4" s="1"/>
  <c r="V68" i="4"/>
  <c r="I67" i="4"/>
  <c r="S67" i="4" s="1"/>
  <c r="X69" i="4"/>
  <c r="V67" i="4"/>
  <c r="S69" i="4"/>
  <c r="T66" i="4"/>
  <c r="X67" i="4"/>
  <c r="T65" i="4"/>
  <c r="T69" i="4"/>
  <c r="V65" i="4"/>
  <c r="X65" i="4"/>
  <c r="V69" i="4"/>
  <c r="T67" i="4"/>
  <c r="I8" i="7" l="1"/>
  <c r="I6" i="7"/>
  <c r="I7" i="7"/>
  <c r="I5" i="7"/>
  <c r="D14" i="1"/>
  <c r="E14" i="1"/>
  <c r="F14" i="1"/>
  <c r="G14" i="1"/>
  <c r="H14" i="1"/>
  <c r="I14" i="1"/>
  <c r="J14" i="1"/>
  <c r="K14" i="1"/>
  <c r="L14" i="1"/>
  <c r="M14" i="1"/>
  <c r="D15" i="1"/>
  <c r="E15" i="1"/>
  <c r="F15" i="1"/>
  <c r="G15" i="1"/>
  <c r="H15" i="1"/>
  <c r="I15" i="1"/>
  <c r="J15" i="1"/>
  <c r="K15" i="1"/>
  <c r="L15" i="1"/>
  <c r="M15" i="1"/>
  <c r="D16" i="1"/>
  <c r="E16" i="1"/>
  <c r="F16" i="1"/>
  <c r="G16" i="1"/>
  <c r="H16" i="1"/>
  <c r="I16" i="1"/>
  <c r="J16" i="1"/>
  <c r="K16" i="1"/>
  <c r="L16" i="1"/>
  <c r="M16" i="1"/>
  <c r="D17" i="1"/>
  <c r="E17" i="1"/>
  <c r="F17" i="1"/>
  <c r="G17" i="1"/>
  <c r="H17" i="1"/>
  <c r="I17" i="1"/>
  <c r="J17" i="1"/>
  <c r="K17" i="1"/>
  <c r="L17" i="1"/>
  <c r="M17" i="1"/>
  <c r="B17" i="1"/>
  <c r="K36" i="1"/>
  <c r="L12" i="6" s="1"/>
  <c r="L36" i="1"/>
  <c r="M12" i="6" s="1"/>
  <c r="M36" i="1"/>
  <c r="N12" i="6" s="1"/>
  <c r="K60" i="1"/>
  <c r="K73" i="1" s="1"/>
  <c r="L60" i="1"/>
  <c r="M60" i="1"/>
  <c r="M73" i="1" s="1"/>
  <c r="K61" i="1"/>
  <c r="L61" i="1"/>
  <c r="M61" i="1"/>
  <c r="J41" i="1" l="1"/>
  <c r="J42" i="1"/>
  <c r="J39" i="1"/>
  <c r="J44" i="1"/>
  <c r="J43" i="1"/>
  <c r="M44" i="1"/>
  <c r="M41" i="1"/>
  <c r="M43" i="1"/>
  <c r="M42" i="1"/>
  <c r="M39" i="1"/>
  <c r="I44" i="1"/>
  <c r="I42" i="1"/>
  <c r="I39" i="1"/>
  <c r="I41" i="1"/>
  <c r="I43" i="1"/>
  <c r="E44" i="1"/>
  <c r="E43" i="1"/>
  <c r="E42" i="1"/>
  <c r="E39" i="1"/>
  <c r="E41" i="1"/>
  <c r="K42" i="1"/>
  <c r="K39" i="1"/>
  <c r="K44" i="1"/>
  <c r="K41" i="1"/>
  <c r="K43" i="1"/>
  <c r="G42" i="1"/>
  <c r="G39" i="1"/>
  <c r="G43" i="1"/>
  <c r="G41" i="1"/>
  <c r="G44" i="1"/>
  <c r="N6" i="5"/>
  <c r="O14" i="3"/>
  <c r="O15" i="3" s="1"/>
  <c r="O16" i="3" s="1"/>
  <c r="F41" i="1"/>
  <c r="F43" i="1"/>
  <c r="F44" i="1"/>
  <c r="F42" i="1"/>
  <c r="F39" i="1"/>
  <c r="M6" i="5"/>
  <c r="N14" i="3"/>
  <c r="N15" i="3" s="1"/>
  <c r="N16" i="3" s="1"/>
  <c r="L65" i="1"/>
  <c r="L73" i="1"/>
  <c r="L6" i="5"/>
  <c r="M14" i="3"/>
  <c r="M15" i="3" s="1"/>
  <c r="M16" i="3" s="1"/>
  <c r="L43" i="1"/>
  <c r="L41" i="1"/>
  <c r="L42" i="1"/>
  <c r="L39" i="1"/>
  <c r="L44" i="1"/>
  <c r="H43" i="1"/>
  <c r="H41" i="1"/>
  <c r="H44" i="1"/>
  <c r="H42" i="1"/>
  <c r="H39" i="1"/>
  <c r="D43" i="1"/>
  <c r="D44" i="1"/>
  <c r="D42" i="1"/>
  <c r="D39" i="1"/>
  <c r="D41" i="1"/>
  <c r="C24" i="1"/>
  <c r="G24" i="1"/>
  <c r="K24" i="1"/>
  <c r="I24" i="1"/>
  <c r="I48" i="1" s="1"/>
  <c r="J10" i="6" s="1"/>
  <c r="F24" i="1"/>
  <c r="B24" i="1"/>
  <c r="D24" i="1"/>
  <c r="H24" i="1"/>
  <c r="H48" i="1" s="1"/>
  <c r="I10" i="6" s="1"/>
  <c r="L24" i="1"/>
  <c r="E24" i="1"/>
  <c r="M24" i="1"/>
  <c r="J24" i="1"/>
  <c r="J48" i="1" s="1"/>
  <c r="K10" i="6" s="1"/>
  <c r="E26" i="1"/>
  <c r="I26" i="1"/>
  <c r="M26" i="1"/>
  <c r="G26" i="1"/>
  <c r="H26" i="1"/>
  <c r="F26" i="1"/>
  <c r="J26" i="1"/>
  <c r="B26" i="1"/>
  <c r="C26" i="1"/>
  <c r="K26" i="1"/>
  <c r="D26" i="1"/>
  <c r="L26" i="1"/>
  <c r="D25" i="1"/>
  <c r="D67" i="1" s="1"/>
  <c r="E20" i="5" s="1"/>
  <c r="H25" i="1"/>
  <c r="H67" i="1" s="1"/>
  <c r="I20" i="5" s="1"/>
  <c r="L25" i="1"/>
  <c r="L67" i="1" s="1"/>
  <c r="F25" i="1"/>
  <c r="F67" i="1" s="1"/>
  <c r="G20" i="5" s="1"/>
  <c r="B25" i="1"/>
  <c r="B67" i="1" s="1"/>
  <c r="C20" i="5" s="1"/>
  <c r="C25" i="1"/>
  <c r="C67" i="1" s="1"/>
  <c r="D20" i="5" s="1"/>
  <c r="K25" i="1"/>
  <c r="K67" i="1" s="1"/>
  <c r="L20" i="5" s="1"/>
  <c r="E25" i="1"/>
  <c r="E67" i="1" s="1"/>
  <c r="F20" i="5" s="1"/>
  <c r="I25" i="1"/>
  <c r="I67" i="1" s="1"/>
  <c r="J20" i="5" s="1"/>
  <c r="M25" i="1"/>
  <c r="M67" i="1" s="1"/>
  <c r="N20" i="5" s="1"/>
  <c r="J25" i="1"/>
  <c r="J67" i="1" s="1"/>
  <c r="K20" i="5" s="1"/>
  <c r="G25" i="1"/>
  <c r="G67" i="1" s="1"/>
  <c r="H20" i="5" s="1"/>
  <c r="M75" i="1"/>
  <c r="M65" i="1"/>
  <c r="D45" i="1" l="1"/>
  <c r="G45" i="1"/>
  <c r="D42" i="5"/>
  <c r="M20" i="5"/>
  <c r="M32" i="5" s="1"/>
  <c r="L75" i="1"/>
  <c r="M48" i="1"/>
  <c r="N10" i="6" s="1"/>
  <c r="K48" i="1"/>
  <c r="L10" i="6" s="1"/>
  <c r="H45" i="1"/>
  <c r="K45" i="1"/>
  <c r="I45" i="1"/>
  <c r="K65" i="1"/>
  <c r="N32" i="5"/>
  <c r="E42" i="5"/>
  <c r="E48" i="1"/>
  <c r="F10" i="6" s="1"/>
  <c r="G48" i="1"/>
  <c r="H10" i="6" s="1"/>
  <c r="L14" i="5"/>
  <c r="L15" i="5" s="1"/>
  <c r="L7" i="5"/>
  <c r="M7" i="5"/>
  <c r="M14" i="5"/>
  <c r="M45" i="1"/>
  <c r="L32" i="5"/>
  <c r="L30" i="5"/>
  <c r="D48" i="1"/>
  <c r="E10" i="6" s="1"/>
  <c r="E45" i="1"/>
  <c r="K75" i="1"/>
  <c r="L48" i="1"/>
  <c r="M10" i="6" s="1"/>
  <c r="F48" i="1"/>
  <c r="G10" i="6" s="1"/>
  <c r="L45" i="1"/>
  <c r="F45" i="1"/>
  <c r="N14" i="5"/>
  <c r="N15" i="5" s="1"/>
  <c r="N7" i="5"/>
  <c r="J45" i="1"/>
  <c r="C2" i="1"/>
  <c r="C18" i="1" s="1"/>
  <c r="N30" i="5" l="1"/>
  <c r="M30" i="5"/>
  <c r="M15" i="5"/>
  <c r="F42" i="5"/>
  <c r="C16" i="1"/>
  <c r="C14" i="1"/>
  <c r="C17" i="1"/>
  <c r="C15" i="1"/>
  <c r="D32" i="5"/>
  <c r="C13" i="5"/>
  <c r="C12" i="5"/>
  <c r="G32" i="5"/>
  <c r="J32" i="5"/>
  <c r="G63" i="4"/>
  <c r="C61" i="4"/>
  <c r="P62" i="4"/>
  <c r="O62" i="4"/>
  <c r="L62" i="4"/>
  <c r="K62" i="4"/>
  <c r="D62" i="4"/>
  <c r="E62" i="4" s="1"/>
  <c r="C62" i="4"/>
  <c r="P61" i="4"/>
  <c r="O61" i="4"/>
  <c r="Q61" i="4" s="1"/>
  <c r="L61" i="4"/>
  <c r="K61" i="4"/>
  <c r="D61" i="4"/>
  <c r="P60" i="4"/>
  <c r="O60" i="4"/>
  <c r="L60" i="4"/>
  <c r="K60" i="4"/>
  <c r="D60" i="4"/>
  <c r="C60" i="4"/>
  <c r="E60" i="4" s="1"/>
  <c r="P59" i="4"/>
  <c r="O59" i="4"/>
  <c r="Q59" i="4" s="1"/>
  <c r="Y59" i="4" s="1"/>
  <c r="L59" i="4"/>
  <c r="K59" i="4"/>
  <c r="M59" i="4" s="1"/>
  <c r="D59" i="4"/>
  <c r="C59" i="4"/>
  <c r="P58" i="4"/>
  <c r="O58" i="4"/>
  <c r="L58" i="4"/>
  <c r="K58" i="4"/>
  <c r="D58" i="4"/>
  <c r="C58" i="4"/>
  <c r="E58" i="4" s="1"/>
  <c r="P57" i="4"/>
  <c r="O57" i="4"/>
  <c r="L57" i="4"/>
  <c r="K57" i="4"/>
  <c r="D57" i="4"/>
  <c r="C57" i="4"/>
  <c r="Q63" i="4"/>
  <c r="D93" i="4"/>
  <c r="C93" i="4"/>
  <c r="P56" i="4"/>
  <c r="O56" i="4"/>
  <c r="L56" i="4"/>
  <c r="K56" i="4"/>
  <c r="D56" i="4"/>
  <c r="C56" i="4"/>
  <c r="P55" i="4"/>
  <c r="O55" i="4"/>
  <c r="L55" i="4"/>
  <c r="K55" i="4"/>
  <c r="D55" i="4"/>
  <c r="C55" i="4"/>
  <c r="P54" i="4"/>
  <c r="O54" i="4"/>
  <c r="L54" i="4"/>
  <c r="K54" i="4"/>
  <c r="D54" i="4"/>
  <c r="C54" i="4"/>
  <c r="P53" i="4"/>
  <c r="O53" i="4"/>
  <c r="L53" i="4"/>
  <c r="K53" i="4"/>
  <c r="D53" i="4"/>
  <c r="C53" i="4"/>
  <c r="P52" i="4"/>
  <c r="O52" i="4"/>
  <c r="L52" i="4"/>
  <c r="K52" i="4"/>
  <c r="D52" i="4"/>
  <c r="C52" i="4"/>
  <c r="P51" i="4"/>
  <c r="O51" i="4"/>
  <c r="L51" i="4"/>
  <c r="K51" i="4"/>
  <c r="D51" i="4"/>
  <c r="C51" i="4"/>
  <c r="E51" i="4" s="1"/>
  <c r="P50" i="4"/>
  <c r="O50" i="4"/>
  <c r="L50" i="4"/>
  <c r="K50" i="4"/>
  <c r="D50" i="4"/>
  <c r="C50" i="4"/>
  <c r="P49" i="4"/>
  <c r="O49" i="4"/>
  <c r="L49" i="4"/>
  <c r="K49" i="4"/>
  <c r="D49" i="4"/>
  <c r="C49" i="4"/>
  <c r="P48" i="4"/>
  <c r="O48" i="4"/>
  <c r="L48" i="4"/>
  <c r="K48" i="4"/>
  <c r="M48" i="4" s="1"/>
  <c r="D48" i="4"/>
  <c r="C48" i="4"/>
  <c r="P47" i="4"/>
  <c r="O47" i="4"/>
  <c r="L47" i="4"/>
  <c r="K47" i="4"/>
  <c r="D47" i="4"/>
  <c r="C47" i="4"/>
  <c r="P46" i="4"/>
  <c r="O46" i="4"/>
  <c r="L46" i="4"/>
  <c r="K46" i="4"/>
  <c r="D46" i="4"/>
  <c r="C46" i="4"/>
  <c r="P45" i="4"/>
  <c r="O45" i="4"/>
  <c r="L45" i="4"/>
  <c r="K45" i="4"/>
  <c r="D45" i="4"/>
  <c r="C45" i="4"/>
  <c r="P44" i="4"/>
  <c r="O44" i="4"/>
  <c r="L44" i="4"/>
  <c r="K44" i="4"/>
  <c r="D44" i="4"/>
  <c r="C44" i="4"/>
  <c r="P43" i="4"/>
  <c r="O43" i="4"/>
  <c r="L43" i="4"/>
  <c r="K43" i="4"/>
  <c r="D43" i="4"/>
  <c r="C43" i="4"/>
  <c r="P42" i="4"/>
  <c r="O42" i="4"/>
  <c r="L42" i="4"/>
  <c r="K42" i="4"/>
  <c r="D42" i="4"/>
  <c r="C42" i="4"/>
  <c r="P41" i="4"/>
  <c r="O41" i="4"/>
  <c r="L41" i="4"/>
  <c r="K41" i="4"/>
  <c r="D41" i="4"/>
  <c r="C41" i="4"/>
  <c r="P40" i="4"/>
  <c r="O40" i="4"/>
  <c r="L40" i="4"/>
  <c r="K40" i="4"/>
  <c r="M40" i="4" s="1"/>
  <c r="D40" i="4"/>
  <c r="C40" i="4"/>
  <c r="P39" i="4"/>
  <c r="O39" i="4"/>
  <c r="L39" i="4"/>
  <c r="K39" i="4"/>
  <c r="D39" i="4"/>
  <c r="C39" i="4"/>
  <c r="P38" i="4"/>
  <c r="P71" i="4" s="1"/>
  <c r="O38" i="4"/>
  <c r="L38" i="4"/>
  <c r="K38" i="4"/>
  <c r="D38" i="4"/>
  <c r="C38" i="4"/>
  <c r="Q37" i="4"/>
  <c r="X37" i="4" s="1"/>
  <c r="M37" i="4"/>
  <c r="H37" i="4"/>
  <c r="G37" i="4"/>
  <c r="E37" i="4"/>
  <c r="Q36" i="4"/>
  <c r="Y36" i="4" s="1"/>
  <c r="M36" i="4"/>
  <c r="H36" i="4"/>
  <c r="G36" i="4"/>
  <c r="E36" i="4"/>
  <c r="Q35" i="4"/>
  <c r="Y35" i="4" s="1"/>
  <c r="M35" i="4"/>
  <c r="H35" i="4"/>
  <c r="G35" i="4"/>
  <c r="E35" i="4"/>
  <c r="Q34" i="4"/>
  <c r="X34" i="4" s="1"/>
  <c r="M34" i="4"/>
  <c r="H34" i="4"/>
  <c r="G34" i="4"/>
  <c r="E34" i="4"/>
  <c r="Q33" i="4"/>
  <c r="X33" i="4" s="1"/>
  <c r="M33" i="4"/>
  <c r="H33" i="4"/>
  <c r="G33" i="4"/>
  <c r="E33" i="4"/>
  <c r="Q32" i="4"/>
  <c r="Y32" i="4" s="1"/>
  <c r="M32" i="4"/>
  <c r="H32" i="4"/>
  <c r="G32" i="4"/>
  <c r="E32" i="4"/>
  <c r="Q31" i="4"/>
  <c r="Y31" i="4" s="1"/>
  <c r="M31" i="4"/>
  <c r="H31" i="4"/>
  <c r="G31" i="4"/>
  <c r="E31" i="4"/>
  <c r="Q30" i="4"/>
  <c r="Y30" i="4" s="1"/>
  <c r="M30" i="4"/>
  <c r="H30" i="4"/>
  <c r="G30" i="4"/>
  <c r="E30" i="4"/>
  <c r="Q29" i="4"/>
  <c r="Y29" i="4" s="1"/>
  <c r="M29" i="4"/>
  <c r="H29" i="4"/>
  <c r="G29" i="4"/>
  <c r="E29" i="4"/>
  <c r="Q28" i="4"/>
  <c r="Y28" i="4" s="1"/>
  <c r="M28" i="4"/>
  <c r="H28" i="4"/>
  <c r="G28" i="4"/>
  <c r="E28" i="4"/>
  <c r="Q27" i="4"/>
  <c r="Y27" i="4" s="1"/>
  <c r="M27" i="4"/>
  <c r="H27" i="4"/>
  <c r="G27" i="4"/>
  <c r="E27" i="4"/>
  <c r="Q26" i="4"/>
  <c r="Y26" i="4" s="1"/>
  <c r="M26" i="4"/>
  <c r="H26" i="4"/>
  <c r="G26" i="4"/>
  <c r="E26" i="4"/>
  <c r="Q25" i="4"/>
  <c r="Y25" i="4" s="1"/>
  <c r="M25" i="4"/>
  <c r="H25" i="4"/>
  <c r="G25" i="4"/>
  <c r="E25" i="4"/>
  <c r="Q24" i="4"/>
  <c r="Y24" i="4" s="1"/>
  <c r="M24" i="4"/>
  <c r="H24" i="4"/>
  <c r="G24" i="4"/>
  <c r="E24" i="4"/>
  <c r="P23" i="4"/>
  <c r="O23" i="4"/>
  <c r="L23" i="4"/>
  <c r="K23" i="4"/>
  <c r="D23" i="4"/>
  <c r="C23" i="4"/>
  <c r="P22" i="4"/>
  <c r="O22" i="4"/>
  <c r="L22" i="4"/>
  <c r="K22" i="4"/>
  <c r="D22" i="4"/>
  <c r="C22" i="4"/>
  <c r="P21" i="4"/>
  <c r="O21" i="4"/>
  <c r="L21" i="4"/>
  <c r="K21" i="4"/>
  <c r="D21" i="4"/>
  <c r="C21" i="4"/>
  <c r="P20" i="4"/>
  <c r="O20" i="4"/>
  <c r="L20" i="4"/>
  <c r="K20" i="4"/>
  <c r="D20" i="4"/>
  <c r="C20" i="4"/>
  <c r="P19" i="4"/>
  <c r="O19" i="4"/>
  <c r="L19" i="4"/>
  <c r="K19" i="4"/>
  <c r="D19" i="4"/>
  <c r="C19" i="4"/>
  <c r="P18" i="4"/>
  <c r="O18" i="4"/>
  <c r="Q18" i="4" s="1"/>
  <c r="L18" i="4"/>
  <c r="K18" i="4"/>
  <c r="D18" i="4"/>
  <c r="C18" i="4"/>
  <c r="P17" i="4"/>
  <c r="O17" i="4"/>
  <c r="L17" i="4"/>
  <c r="K17" i="4"/>
  <c r="M17" i="4" s="1"/>
  <c r="D17" i="4"/>
  <c r="C17" i="4"/>
  <c r="P16" i="4"/>
  <c r="O16" i="4"/>
  <c r="Q16" i="4" s="1"/>
  <c r="L16" i="4"/>
  <c r="K16" i="4"/>
  <c r="D16" i="4"/>
  <c r="C16" i="4"/>
  <c r="P15" i="4"/>
  <c r="O15" i="4"/>
  <c r="L15" i="4"/>
  <c r="K15" i="4"/>
  <c r="D15" i="4"/>
  <c r="C15" i="4"/>
  <c r="P14" i="4"/>
  <c r="O14" i="4"/>
  <c r="Q14" i="4" s="1"/>
  <c r="L14" i="4"/>
  <c r="K14" i="4"/>
  <c r="D14" i="4"/>
  <c r="C14" i="4"/>
  <c r="P13" i="4"/>
  <c r="O13" i="4"/>
  <c r="L13" i="4"/>
  <c r="K13" i="4"/>
  <c r="M13" i="4" s="1"/>
  <c r="D13" i="4"/>
  <c r="C13" i="4"/>
  <c r="P12" i="4"/>
  <c r="O12" i="4"/>
  <c r="Q12" i="4" s="1"/>
  <c r="L12" i="4"/>
  <c r="K12" i="4"/>
  <c r="D12" i="4"/>
  <c r="C12" i="4"/>
  <c r="P11" i="4"/>
  <c r="O11" i="4"/>
  <c r="L11" i="4"/>
  <c r="K11" i="4"/>
  <c r="D11" i="4"/>
  <c r="C11" i="4"/>
  <c r="P10" i="4"/>
  <c r="O10" i="4"/>
  <c r="L10" i="4"/>
  <c r="K10" i="4"/>
  <c r="D10" i="4"/>
  <c r="C10" i="4"/>
  <c r="P9" i="4"/>
  <c r="O9" i="4"/>
  <c r="L9" i="4"/>
  <c r="K9" i="4"/>
  <c r="M9" i="4" s="1"/>
  <c r="D9" i="4"/>
  <c r="C9" i="4"/>
  <c r="P8" i="4"/>
  <c r="O8" i="4"/>
  <c r="Q8" i="4" s="1"/>
  <c r="L8" i="4"/>
  <c r="K8" i="4"/>
  <c r="D8" i="4"/>
  <c r="C8" i="4"/>
  <c r="P7" i="4"/>
  <c r="O7" i="4"/>
  <c r="L7" i="4"/>
  <c r="K7" i="4"/>
  <c r="D7" i="4"/>
  <c r="C7" i="4"/>
  <c r="P6" i="4"/>
  <c r="O6" i="4"/>
  <c r="L6" i="4"/>
  <c r="K6" i="4"/>
  <c r="D6" i="4"/>
  <c r="C6" i="4"/>
  <c r="P5" i="4"/>
  <c r="O5" i="4"/>
  <c r="L5" i="4"/>
  <c r="K5" i="4"/>
  <c r="D5" i="4"/>
  <c r="C5" i="4"/>
  <c r="P4" i="4"/>
  <c r="O4" i="4"/>
  <c r="L4" i="4"/>
  <c r="K4" i="4"/>
  <c r="D4" i="4"/>
  <c r="C4" i="4"/>
  <c r="C71" i="4" l="1"/>
  <c r="H61" i="4"/>
  <c r="D71" i="4"/>
  <c r="K71" i="4"/>
  <c r="L71" i="4"/>
  <c r="O71" i="4"/>
  <c r="M62" i="4"/>
  <c r="C42" i="5"/>
  <c r="F40" i="5"/>
  <c r="C42" i="1"/>
  <c r="C39" i="1"/>
  <c r="C44" i="1"/>
  <c r="C41" i="1"/>
  <c r="C43" i="1"/>
  <c r="C48" i="1"/>
  <c r="D10" i="6" s="1"/>
  <c r="Q57" i="4"/>
  <c r="X57" i="4" s="1"/>
  <c r="T29" i="4"/>
  <c r="T37" i="4"/>
  <c r="M56" i="4"/>
  <c r="E93" i="4"/>
  <c r="E94" i="4" s="1"/>
  <c r="C94" i="4" s="1"/>
  <c r="B94" i="4" s="1"/>
  <c r="Q42" i="4"/>
  <c r="Q46" i="4"/>
  <c r="Y46" i="4" s="1"/>
  <c r="V35" i="4"/>
  <c r="E59" i="4"/>
  <c r="E63" i="4"/>
  <c r="Q20" i="4"/>
  <c r="Y20" i="4" s="1"/>
  <c r="G9" i="4"/>
  <c r="T35" i="4"/>
  <c r="G60" i="4"/>
  <c r="E6" i="4"/>
  <c r="E18" i="4"/>
  <c r="V24" i="4"/>
  <c r="X63" i="4"/>
  <c r="H15" i="4"/>
  <c r="H17" i="4"/>
  <c r="H59" i="4"/>
  <c r="W59" i="4" s="1"/>
  <c r="G62" i="4"/>
  <c r="H63" i="4"/>
  <c r="W63" i="4" s="1"/>
  <c r="G19" i="4"/>
  <c r="H9" i="4"/>
  <c r="V25" i="4"/>
  <c r="X25" i="4"/>
  <c r="V32" i="4"/>
  <c r="V36" i="4"/>
  <c r="T36" i="4"/>
  <c r="V29" i="4"/>
  <c r="W32" i="4"/>
  <c r="V33" i="4"/>
  <c r="W36" i="4"/>
  <c r="H39" i="4"/>
  <c r="H54" i="4"/>
  <c r="H57" i="4"/>
  <c r="W57" i="4" s="1"/>
  <c r="Y61" i="4"/>
  <c r="E61" i="4"/>
  <c r="H32" i="5"/>
  <c r="F32" i="5"/>
  <c r="X24" i="4"/>
  <c r="T25" i="4"/>
  <c r="W29" i="4"/>
  <c r="V30" i="4"/>
  <c r="T32" i="4"/>
  <c r="M39" i="4"/>
  <c r="G40" i="4"/>
  <c r="Q48" i="4"/>
  <c r="X48" i="4" s="1"/>
  <c r="M49" i="4"/>
  <c r="M51" i="4"/>
  <c r="E52" i="4"/>
  <c r="Q52" i="4"/>
  <c r="X52" i="4" s="1"/>
  <c r="M53" i="4"/>
  <c r="M55" i="4"/>
  <c r="E57" i="4"/>
  <c r="M60" i="4"/>
  <c r="G38" i="4"/>
  <c r="Q56" i="4"/>
  <c r="X56" i="4" s="1"/>
  <c r="H58" i="4"/>
  <c r="X61" i="4"/>
  <c r="Y57" i="4"/>
  <c r="M57" i="4"/>
  <c r="T57" i="4" s="1"/>
  <c r="H60" i="4"/>
  <c r="I60" i="4" s="1"/>
  <c r="E48" i="4"/>
  <c r="T59" i="4"/>
  <c r="G58" i="4"/>
  <c r="H62" i="4"/>
  <c r="K32" i="5"/>
  <c r="E32" i="5"/>
  <c r="I32" i="5"/>
  <c r="M63" i="4"/>
  <c r="T63" i="4" s="1"/>
  <c r="M61" i="4"/>
  <c r="T61" i="4" s="1"/>
  <c r="W61" i="4"/>
  <c r="X59" i="4"/>
  <c r="M58" i="4"/>
  <c r="G57" i="4"/>
  <c r="V63" i="4"/>
  <c r="Y63" i="4"/>
  <c r="G61" i="4"/>
  <c r="I61" i="4" s="1"/>
  <c r="G59" i="4"/>
  <c r="Q62" i="4"/>
  <c r="Y62" i="4" s="1"/>
  <c r="Q60" i="4"/>
  <c r="Y60" i="4" s="1"/>
  <c r="Q58" i="4"/>
  <c r="Y58" i="4" s="1"/>
  <c r="G10" i="4"/>
  <c r="T27" i="4"/>
  <c r="V34" i="4"/>
  <c r="Y34" i="4"/>
  <c r="X36" i="4"/>
  <c r="Q38" i="4"/>
  <c r="E56" i="4"/>
  <c r="H22" i="4"/>
  <c r="X32" i="4"/>
  <c r="E40" i="4"/>
  <c r="H42" i="4"/>
  <c r="W42" i="4" s="1"/>
  <c r="Q9" i="4"/>
  <c r="Q11" i="4"/>
  <c r="X11" i="4" s="1"/>
  <c r="Q17" i="4"/>
  <c r="X17" i="4" s="1"/>
  <c r="M22" i="4"/>
  <c r="V27" i="4"/>
  <c r="X27" i="4"/>
  <c r="T34" i="4"/>
  <c r="I37" i="4"/>
  <c r="S37" i="4" s="1"/>
  <c r="Y37" i="4"/>
  <c r="Q40" i="4"/>
  <c r="X40" i="4" s="1"/>
  <c r="M41" i="4"/>
  <c r="M43" i="4"/>
  <c r="Q44" i="4"/>
  <c r="X44" i="4" s="1"/>
  <c r="M45" i="4"/>
  <c r="M47" i="4"/>
  <c r="H53" i="4"/>
  <c r="G5" i="4"/>
  <c r="Y11" i="4"/>
  <c r="E14" i="4"/>
  <c r="E23" i="4"/>
  <c r="V28" i="4"/>
  <c r="X28" i="4"/>
  <c r="V31" i="4"/>
  <c r="X31" i="4"/>
  <c r="H45" i="4"/>
  <c r="H46" i="4"/>
  <c r="Q50" i="4"/>
  <c r="Y50" i="4" s="1"/>
  <c r="H41" i="4"/>
  <c r="G56" i="4"/>
  <c r="H5" i="4"/>
  <c r="H7" i="4"/>
  <c r="Y8" i="4"/>
  <c r="G13" i="4"/>
  <c r="Q19" i="4"/>
  <c r="X19" i="4" s="1"/>
  <c r="H23" i="4"/>
  <c r="T24" i="4"/>
  <c r="V26" i="4"/>
  <c r="W28" i="4"/>
  <c r="X29" i="4"/>
  <c r="X35" i="4"/>
  <c r="E49" i="4"/>
  <c r="M5" i="4"/>
  <c r="Q6" i="4"/>
  <c r="X6" i="4" s="1"/>
  <c r="E10" i="4"/>
  <c r="H13" i="4"/>
  <c r="Y14" i="4"/>
  <c r="Y16" i="4"/>
  <c r="M21" i="4"/>
  <c r="M23" i="4"/>
  <c r="W25" i="4"/>
  <c r="T28" i="4"/>
  <c r="T31" i="4"/>
  <c r="E39" i="4"/>
  <c r="E41" i="4"/>
  <c r="E43" i="4"/>
  <c r="H49" i="4"/>
  <c r="H50" i="4"/>
  <c r="E53" i="4"/>
  <c r="Y12" i="4"/>
  <c r="H21" i="4"/>
  <c r="Q13" i="4"/>
  <c r="X13" i="4" s="1"/>
  <c r="H18" i="4"/>
  <c r="W18" i="4" s="1"/>
  <c r="I29" i="4"/>
  <c r="S29" i="4" s="1"/>
  <c r="I32" i="4"/>
  <c r="S32" i="4" s="1"/>
  <c r="T33" i="4"/>
  <c r="I36" i="4"/>
  <c r="S36" i="4" s="1"/>
  <c r="Q4" i="4"/>
  <c r="Y4" i="4" s="1"/>
  <c r="G6" i="4"/>
  <c r="H11" i="4"/>
  <c r="G14" i="4"/>
  <c r="V14" i="4" s="1"/>
  <c r="X26" i="4"/>
  <c r="W27" i="4"/>
  <c r="X30" i="4"/>
  <c r="W31" i="4"/>
  <c r="I33" i="4"/>
  <c r="S33" i="4" s="1"/>
  <c r="W37" i="4"/>
  <c r="V37" i="4"/>
  <c r="E44" i="4"/>
  <c r="Y33" i="4"/>
  <c r="H38" i="4"/>
  <c r="Q5" i="4"/>
  <c r="X5" i="4" s="1"/>
  <c r="G22" i="4"/>
  <c r="I25" i="4"/>
  <c r="S25" i="4" s="1"/>
  <c r="W33" i="4"/>
  <c r="G48" i="4"/>
  <c r="Q7" i="4"/>
  <c r="X7" i="4" s="1"/>
  <c r="Q10" i="4"/>
  <c r="Y10" i="4" s="1"/>
  <c r="G15" i="4"/>
  <c r="Q15" i="4"/>
  <c r="X15" i="4" s="1"/>
  <c r="Y18" i="4"/>
  <c r="H19" i="4"/>
  <c r="E21" i="4"/>
  <c r="Q22" i="4"/>
  <c r="T26" i="4"/>
  <c r="I27" i="4"/>
  <c r="S27" i="4" s="1"/>
  <c r="T30" i="4"/>
  <c r="I31" i="4"/>
  <c r="S31" i="4" s="1"/>
  <c r="E38" i="4"/>
  <c r="E71" i="4" s="1"/>
  <c r="H43" i="4"/>
  <c r="G44" i="4"/>
  <c r="H51" i="4"/>
  <c r="G52" i="4"/>
  <c r="Q54" i="4"/>
  <c r="Y54" i="4" s="1"/>
  <c r="W24" i="4"/>
  <c r="I24" i="4"/>
  <c r="S24" i="4" s="1"/>
  <c r="M42" i="4"/>
  <c r="T42" i="4" s="1"/>
  <c r="X42" i="4"/>
  <c r="E4" i="4"/>
  <c r="E8" i="4"/>
  <c r="E12" i="4"/>
  <c r="E16" i="4"/>
  <c r="G18" i="4"/>
  <c r="E20" i="4"/>
  <c r="Q21" i="4"/>
  <c r="G21" i="4"/>
  <c r="W35" i="4"/>
  <c r="I35" i="4"/>
  <c r="S35" i="4" s="1"/>
  <c r="E45" i="4"/>
  <c r="X4" i="4"/>
  <c r="M4" i="4"/>
  <c r="G4" i="4"/>
  <c r="X8" i="4"/>
  <c r="M8" i="4"/>
  <c r="T8" i="4" s="1"/>
  <c r="G8" i="4"/>
  <c r="X12" i="4"/>
  <c r="M12" i="4"/>
  <c r="T12" i="4" s="1"/>
  <c r="G12" i="4"/>
  <c r="X16" i="4"/>
  <c r="M16" i="4"/>
  <c r="T16" i="4" s="1"/>
  <c r="G16" i="4"/>
  <c r="M20" i="4"/>
  <c r="G20" i="4"/>
  <c r="M50" i="4"/>
  <c r="E5" i="4"/>
  <c r="H6" i="4"/>
  <c r="G7" i="4"/>
  <c r="E9" i="4"/>
  <c r="H10" i="4"/>
  <c r="G11" i="4"/>
  <c r="E13" i="4"/>
  <c r="H14" i="4"/>
  <c r="W14" i="4" s="1"/>
  <c r="E17" i="4"/>
  <c r="W26" i="4"/>
  <c r="I26" i="4"/>
  <c r="S26" i="4" s="1"/>
  <c r="Q41" i="4"/>
  <c r="Y41" i="4" s="1"/>
  <c r="G41" i="4"/>
  <c r="G42" i="4"/>
  <c r="E42" i="4"/>
  <c r="H44" i="4"/>
  <c r="Q49" i="4"/>
  <c r="Y49" i="4" s="1"/>
  <c r="G49" i="4"/>
  <c r="G50" i="4"/>
  <c r="E50" i="4"/>
  <c r="H52" i="4"/>
  <c r="M6" i="4"/>
  <c r="M7" i="4"/>
  <c r="M10" i="4"/>
  <c r="M11" i="4"/>
  <c r="T11" i="4" s="1"/>
  <c r="X14" i="4"/>
  <c r="M14" i="4"/>
  <c r="T14" i="4" s="1"/>
  <c r="M15" i="4"/>
  <c r="X18" i="4"/>
  <c r="M18" i="4"/>
  <c r="T18" i="4" s="1"/>
  <c r="M19" i="4"/>
  <c r="I28" i="4"/>
  <c r="S28" i="4" s="1"/>
  <c r="W30" i="4"/>
  <c r="I30" i="4"/>
  <c r="S30" i="4" s="1"/>
  <c r="M38" i="4"/>
  <c r="M44" i="4"/>
  <c r="M46" i="4"/>
  <c r="E47" i="4"/>
  <c r="H47" i="4"/>
  <c r="M52" i="4"/>
  <c r="M54" i="4"/>
  <c r="E55" i="4"/>
  <c r="H55" i="4"/>
  <c r="H4" i="4"/>
  <c r="E7" i="4"/>
  <c r="H8" i="4"/>
  <c r="W8" i="4" s="1"/>
  <c r="E11" i="4"/>
  <c r="H12" i="4"/>
  <c r="W12" i="4" s="1"/>
  <c r="E15" i="4"/>
  <c r="H16" i="4"/>
  <c r="W16" i="4" s="1"/>
  <c r="G17" i="4"/>
  <c r="E19" i="4"/>
  <c r="H20" i="4"/>
  <c r="E22" i="4"/>
  <c r="W34" i="4"/>
  <c r="I34" i="4"/>
  <c r="S34" i="4" s="1"/>
  <c r="Y38" i="4"/>
  <c r="H40" i="4"/>
  <c r="Q45" i="4"/>
  <c r="X45" i="4" s="1"/>
  <c r="G45" i="4"/>
  <c r="G46" i="4"/>
  <c r="E46" i="4"/>
  <c r="H48" i="4"/>
  <c r="Q53" i="4"/>
  <c r="G53" i="4"/>
  <c r="G54" i="4"/>
  <c r="E54" i="4"/>
  <c r="H56" i="4"/>
  <c r="Y42" i="4"/>
  <c r="Q23" i="4"/>
  <c r="G23" i="4"/>
  <c r="Q39" i="4"/>
  <c r="G39" i="4"/>
  <c r="I39" i="4" s="1"/>
  <c r="Q43" i="4"/>
  <c r="Y43" i="4" s="1"/>
  <c r="G43" i="4"/>
  <c r="Q47" i="4"/>
  <c r="G47" i="4"/>
  <c r="Q51" i="4"/>
  <c r="Y51" i="4" s="1"/>
  <c r="G51" i="4"/>
  <c r="Q55" i="4"/>
  <c r="G55" i="4"/>
  <c r="H71" i="4" l="1"/>
  <c r="M71" i="4"/>
  <c r="I58" i="4"/>
  <c r="Q71" i="4"/>
  <c r="G71" i="4"/>
  <c r="C45" i="1"/>
  <c r="W40" i="4"/>
  <c r="T23" i="4"/>
  <c r="X46" i="4"/>
  <c r="T47" i="4"/>
  <c r="V22" i="4"/>
  <c r="I57" i="4"/>
  <c r="V19" i="4"/>
  <c r="T6" i="4"/>
  <c r="W6" i="4"/>
  <c r="Y17" i="4"/>
  <c r="W4" i="4"/>
  <c r="V48" i="4"/>
  <c r="I7" i="4"/>
  <c r="S7" i="4" s="1"/>
  <c r="I63" i="4"/>
  <c r="S63" i="4" s="1"/>
  <c r="T46" i="4"/>
  <c r="W52" i="4"/>
  <c r="X20" i="4"/>
  <c r="T17" i="4"/>
  <c r="W46" i="4"/>
  <c r="I62" i="4"/>
  <c r="S62" i="4" s="1"/>
  <c r="W17" i="4"/>
  <c r="I9" i="4"/>
  <c r="S9" i="4" s="1"/>
  <c r="V56" i="4"/>
  <c r="V9" i="4"/>
  <c r="I15" i="4"/>
  <c r="S15" i="4" s="1"/>
  <c r="T56" i="4"/>
  <c r="T22" i="4"/>
  <c r="S61" i="4"/>
  <c r="I11" i="4"/>
  <c r="S11" i="4" s="1"/>
  <c r="T20" i="4"/>
  <c r="W20" i="4"/>
  <c r="Y56" i="4"/>
  <c r="I59" i="4"/>
  <c r="S59" i="4" s="1"/>
  <c r="V40" i="4"/>
  <c r="I17" i="4"/>
  <c r="S17" i="4" s="1"/>
  <c r="W22" i="4"/>
  <c r="V38" i="4"/>
  <c r="I23" i="4"/>
  <c r="S23" i="4" s="1"/>
  <c r="S57" i="4"/>
  <c r="T55" i="4"/>
  <c r="T39" i="4"/>
  <c r="W56" i="4"/>
  <c r="Y44" i="4"/>
  <c r="V44" i="4"/>
  <c r="Y52" i="4"/>
  <c r="I5" i="4"/>
  <c r="S5" i="4" s="1"/>
  <c r="I46" i="4"/>
  <c r="S46" i="4" s="1"/>
  <c r="W48" i="4"/>
  <c r="T52" i="4"/>
  <c r="V52" i="4"/>
  <c r="T48" i="4"/>
  <c r="Y40" i="4"/>
  <c r="Y48" i="4"/>
  <c r="T40" i="4"/>
  <c r="W11" i="4"/>
  <c r="V60" i="4"/>
  <c r="S60" i="4"/>
  <c r="W38" i="4"/>
  <c r="T38" i="4"/>
  <c r="X38" i="4"/>
  <c r="I51" i="4"/>
  <c r="S51" i="4" s="1"/>
  <c r="V57" i="4"/>
  <c r="I53" i="4"/>
  <c r="S53" i="4" s="1"/>
  <c r="X60" i="4"/>
  <c r="T60" i="4"/>
  <c r="W60" i="4"/>
  <c r="V59" i="4"/>
  <c r="W58" i="4"/>
  <c r="S58" i="4"/>
  <c r="V61" i="4"/>
  <c r="X58" i="4"/>
  <c r="X62" i="4"/>
  <c r="V58" i="4"/>
  <c r="W62" i="4"/>
  <c r="T58" i="4"/>
  <c r="T62" i="4"/>
  <c r="V62" i="4"/>
  <c r="V7" i="4"/>
  <c r="T44" i="4"/>
  <c r="Y22" i="4"/>
  <c r="I22" i="4"/>
  <c r="S22" i="4" s="1"/>
  <c r="I6" i="4"/>
  <c r="S6" i="4" s="1"/>
  <c r="T9" i="4"/>
  <c r="I45" i="4"/>
  <c r="S45" i="4" s="1"/>
  <c r="X41" i="4"/>
  <c r="T19" i="4"/>
  <c r="X10" i="4"/>
  <c r="W9" i="4"/>
  <c r="W19" i="4"/>
  <c r="Y19" i="4"/>
  <c r="X9" i="4"/>
  <c r="T10" i="4"/>
  <c r="W10" i="4"/>
  <c r="Y9" i="4"/>
  <c r="T7" i="4"/>
  <c r="W44" i="4"/>
  <c r="I13" i="4"/>
  <c r="S13" i="4" s="1"/>
  <c r="Y6" i="4"/>
  <c r="W41" i="4"/>
  <c r="T50" i="4"/>
  <c r="I21" i="4"/>
  <c r="S21" i="4" s="1"/>
  <c r="X50" i="4"/>
  <c r="W5" i="4"/>
  <c r="W50" i="4"/>
  <c r="S39" i="4"/>
  <c r="V21" i="4"/>
  <c r="V10" i="4"/>
  <c r="X22" i="4"/>
  <c r="W55" i="4"/>
  <c r="Y15" i="4"/>
  <c r="Y7" i="4"/>
  <c r="W15" i="4"/>
  <c r="W54" i="4"/>
  <c r="I43" i="4"/>
  <c r="S43" i="4" s="1"/>
  <c r="W49" i="4"/>
  <c r="W39" i="4"/>
  <c r="V11" i="4"/>
  <c r="X49" i="4"/>
  <c r="Y13" i="4"/>
  <c r="V15" i="4"/>
  <c r="X54" i="4"/>
  <c r="W21" i="4"/>
  <c r="T15" i="4"/>
  <c r="V46" i="4"/>
  <c r="I19" i="4"/>
  <c r="S19" i="4" s="1"/>
  <c r="W13" i="4"/>
  <c r="T41" i="4"/>
  <c r="T21" i="4"/>
  <c r="W7" i="4"/>
  <c r="T5" i="4"/>
  <c r="T13" i="4"/>
  <c r="T54" i="4"/>
  <c r="W47" i="4"/>
  <c r="I38" i="4"/>
  <c r="V13" i="4"/>
  <c r="V5" i="4"/>
  <c r="V6" i="4"/>
  <c r="Y5" i="4"/>
  <c r="Y53" i="4"/>
  <c r="T53" i="4"/>
  <c r="V51" i="4"/>
  <c r="I50" i="4"/>
  <c r="S50" i="4" s="1"/>
  <c r="V50" i="4"/>
  <c r="I40" i="4"/>
  <c r="S40" i="4" s="1"/>
  <c r="V23" i="4"/>
  <c r="I18" i="4"/>
  <c r="S18" i="4" s="1"/>
  <c r="V18" i="4"/>
  <c r="Y23" i="4"/>
  <c r="X23" i="4"/>
  <c r="I52" i="4"/>
  <c r="S52" i="4" s="1"/>
  <c r="Y45" i="4"/>
  <c r="T45" i="4"/>
  <c r="V53" i="4"/>
  <c r="X43" i="4"/>
  <c r="W23" i="4"/>
  <c r="I49" i="4"/>
  <c r="S49" i="4" s="1"/>
  <c r="V49" i="4"/>
  <c r="I42" i="4"/>
  <c r="S42" i="4" s="1"/>
  <c r="V42" i="4"/>
  <c r="V17" i="4"/>
  <c r="T4" i="4"/>
  <c r="V45" i="4"/>
  <c r="I55" i="4"/>
  <c r="S55" i="4" s="1"/>
  <c r="I47" i="4"/>
  <c r="S47" i="4" s="1"/>
  <c r="I54" i="4"/>
  <c r="S54" i="4" s="1"/>
  <c r="V54" i="4"/>
  <c r="W51" i="4"/>
  <c r="I44" i="4"/>
  <c r="S44" i="4" s="1"/>
  <c r="V43" i="4"/>
  <c r="V39" i="4"/>
  <c r="I56" i="4"/>
  <c r="S56" i="4" s="1"/>
  <c r="T51" i="4"/>
  <c r="I41" i="4"/>
  <c r="S41" i="4" s="1"/>
  <c r="V41" i="4"/>
  <c r="V55" i="4"/>
  <c r="I16" i="4"/>
  <c r="S16" i="4" s="1"/>
  <c r="V16" i="4"/>
  <c r="I12" i="4"/>
  <c r="S12" i="4" s="1"/>
  <c r="V12" i="4"/>
  <c r="I8" i="4"/>
  <c r="S8" i="4" s="1"/>
  <c r="V8" i="4"/>
  <c r="T49" i="4"/>
  <c r="I14" i="4"/>
  <c r="S14" i="4" s="1"/>
  <c r="Y55" i="4"/>
  <c r="X55" i="4"/>
  <c r="Y47" i="4"/>
  <c r="X47" i="4"/>
  <c r="Y39" i="4"/>
  <c r="Y71" i="4" s="1"/>
  <c r="X39" i="4"/>
  <c r="W53" i="4"/>
  <c r="W45" i="4"/>
  <c r="W43" i="4"/>
  <c r="X51" i="4"/>
  <c r="I48" i="4"/>
  <c r="S48" i="4" s="1"/>
  <c r="T43" i="4"/>
  <c r="X53" i="4"/>
  <c r="I20" i="4"/>
  <c r="S20" i="4" s="1"/>
  <c r="V20" i="4"/>
  <c r="I4" i="4"/>
  <c r="V4" i="4"/>
  <c r="Y21" i="4"/>
  <c r="X21" i="4"/>
  <c r="V47" i="4"/>
  <c r="I10" i="4"/>
  <c r="S10" i="4" s="1"/>
  <c r="W71" i="4" l="1"/>
  <c r="I71" i="4"/>
  <c r="V71" i="4"/>
  <c r="X71" i="4"/>
  <c r="T71" i="4"/>
  <c r="S38" i="4"/>
  <c r="S71" i="4" s="1"/>
  <c r="D4" i="6" s="1"/>
  <c r="S4" i="4"/>
  <c r="M23" i="1" l="1"/>
  <c r="N6" i="6" s="1"/>
  <c r="H23" i="1"/>
  <c r="D23" i="1"/>
  <c r="E6" i="6" s="1"/>
  <c r="G23" i="1"/>
  <c r="H6" i="6" s="1"/>
  <c r="K4" i="6"/>
  <c r="N4" i="6"/>
  <c r="J4" i="6"/>
  <c r="L23" i="1"/>
  <c r="M6" i="6" s="1"/>
  <c r="E23" i="1"/>
  <c r="J23" i="1"/>
  <c r="K6" i="6" s="1"/>
  <c r="K23" i="1"/>
  <c r="I23" i="1"/>
  <c r="J6" i="6" s="1"/>
  <c r="F23" i="1"/>
  <c r="G6" i="6" s="1"/>
  <c r="G4" i="6"/>
  <c r="H4" i="6"/>
  <c r="E4" i="6"/>
  <c r="M4" i="6"/>
  <c r="C23" i="1"/>
  <c r="D6" i="6" s="1"/>
  <c r="N10" i="3"/>
  <c r="O10" i="3"/>
  <c r="M10" i="3"/>
  <c r="G30" i="3" s="1"/>
  <c r="M7" i="3"/>
  <c r="O7" i="3"/>
  <c r="N7" i="3"/>
  <c r="O17" i="3"/>
  <c r="N17" i="3"/>
  <c r="M17" i="3"/>
  <c r="E12" i="3"/>
  <c r="F12" i="3"/>
  <c r="G12" i="3"/>
  <c r="H12" i="3"/>
  <c r="I12" i="3"/>
  <c r="J12" i="3"/>
  <c r="K12" i="3"/>
  <c r="L12" i="3"/>
  <c r="E13" i="3"/>
  <c r="E34" i="3" s="1"/>
  <c r="F13" i="3"/>
  <c r="F34" i="3" s="1"/>
  <c r="G13" i="3"/>
  <c r="G34" i="3" s="1"/>
  <c r="H13" i="3"/>
  <c r="I13" i="3"/>
  <c r="J13" i="3"/>
  <c r="K13" i="3"/>
  <c r="L13" i="3"/>
  <c r="D13" i="3"/>
  <c r="D34" i="3" s="1"/>
  <c r="D12" i="3"/>
  <c r="E5" i="3"/>
  <c r="F5" i="3"/>
  <c r="G5" i="3"/>
  <c r="H5" i="3"/>
  <c r="H6" i="3" s="1"/>
  <c r="H7" i="3" s="1"/>
  <c r="I5" i="3"/>
  <c r="I6" i="3" s="1"/>
  <c r="I7" i="3" s="1"/>
  <c r="J5" i="3"/>
  <c r="J6" i="3" s="1"/>
  <c r="J7" i="3" s="1"/>
  <c r="K5" i="3"/>
  <c r="K6" i="3" s="1"/>
  <c r="K7" i="3" s="1"/>
  <c r="L5" i="3"/>
  <c r="L6" i="3" s="1"/>
  <c r="L7" i="3" s="1"/>
  <c r="D5" i="3"/>
  <c r="E23" i="3"/>
  <c r="F23" i="3"/>
  <c r="G23" i="3"/>
  <c r="H23" i="3"/>
  <c r="I23" i="3"/>
  <c r="J23" i="3"/>
  <c r="K23" i="3"/>
  <c r="L23" i="3"/>
  <c r="E24" i="3"/>
  <c r="F24" i="3"/>
  <c r="G24" i="3"/>
  <c r="H24" i="3"/>
  <c r="I24" i="3"/>
  <c r="J24" i="3"/>
  <c r="K24" i="3"/>
  <c r="L24" i="3"/>
  <c r="D24" i="3"/>
  <c r="D23" i="3"/>
  <c r="E21" i="3"/>
  <c r="F21" i="3"/>
  <c r="G21" i="3"/>
  <c r="H21" i="3"/>
  <c r="I21" i="3"/>
  <c r="J21" i="3"/>
  <c r="K21" i="3"/>
  <c r="L21" i="3"/>
  <c r="E22" i="3"/>
  <c r="F22" i="3"/>
  <c r="G22" i="3"/>
  <c r="H22" i="3"/>
  <c r="I22" i="3"/>
  <c r="J22" i="3"/>
  <c r="K22" i="3"/>
  <c r="L22" i="3"/>
  <c r="D22" i="3"/>
  <c r="D21" i="3"/>
  <c r="C60" i="1"/>
  <c r="D60" i="1"/>
  <c r="E60" i="1"/>
  <c r="F60" i="1"/>
  <c r="G60" i="1"/>
  <c r="H60" i="1"/>
  <c r="I60" i="1"/>
  <c r="J60" i="1"/>
  <c r="C61" i="1"/>
  <c r="D61" i="1"/>
  <c r="D75" i="1" s="1"/>
  <c r="E61" i="1"/>
  <c r="F61" i="1"/>
  <c r="G61" i="1"/>
  <c r="H61" i="1"/>
  <c r="I61" i="1"/>
  <c r="J61" i="1"/>
  <c r="B61" i="1"/>
  <c r="B60" i="1"/>
  <c r="D6" i="5"/>
  <c r="D14" i="5" s="1"/>
  <c r="D15" i="5" s="1"/>
  <c r="E6" i="5"/>
  <c r="E14" i="5" s="1"/>
  <c r="E15" i="5" s="1"/>
  <c r="F6" i="5"/>
  <c r="F14" i="5" s="1"/>
  <c r="F15" i="5" s="1"/>
  <c r="G6" i="5"/>
  <c r="G14" i="5" s="1"/>
  <c r="G15" i="5" s="1"/>
  <c r="H6" i="5"/>
  <c r="H14" i="5" s="1"/>
  <c r="H15" i="5" s="1"/>
  <c r="I6" i="5"/>
  <c r="I14" i="5" s="1"/>
  <c r="I15" i="5" s="1"/>
  <c r="J6" i="5"/>
  <c r="J14" i="5" s="1"/>
  <c r="J15" i="5" s="1"/>
  <c r="K6" i="5"/>
  <c r="K14" i="5" s="1"/>
  <c r="K15" i="5" s="1"/>
  <c r="C6" i="5"/>
  <c r="G31" i="3" l="1"/>
  <c r="I4" i="6"/>
  <c r="E20" i="6"/>
  <c r="L6" i="6"/>
  <c r="F22" i="6"/>
  <c r="F4" i="6"/>
  <c r="D20" i="6"/>
  <c r="D22" i="6"/>
  <c r="F6" i="6"/>
  <c r="I6" i="6"/>
  <c r="E22" i="6"/>
  <c r="G29" i="3"/>
  <c r="F20" i="6"/>
  <c r="L4" i="6"/>
  <c r="F29" i="3"/>
  <c r="F73" i="1"/>
  <c r="F65" i="1" s="1"/>
  <c r="I73" i="1"/>
  <c r="H73" i="1"/>
  <c r="H65" i="1" s="1"/>
  <c r="D73" i="1"/>
  <c r="J73" i="1"/>
  <c r="F6" i="3"/>
  <c r="F7" i="3" s="1"/>
  <c r="F33" i="3"/>
  <c r="E73" i="1"/>
  <c r="E65" i="1" s="1"/>
  <c r="D6" i="3"/>
  <c r="D7" i="3" s="1"/>
  <c r="D33" i="3"/>
  <c r="E6" i="3"/>
  <c r="E7" i="3" s="1"/>
  <c r="E33" i="3"/>
  <c r="G73" i="1"/>
  <c r="C73" i="1"/>
  <c r="C65" i="1" s="1"/>
  <c r="G6" i="3"/>
  <c r="G7" i="3" s="1"/>
  <c r="E29" i="3" s="1"/>
  <c r="G33" i="3"/>
  <c r="J75" i="1"/>
  <c r="F75" i="1"/>
  <c r="I14" i="3"/>
  <c r="I15" i="3" s="1"/>
  <c r="I16" i="3" s="1"/>
  <c r="I17" i="3" s="1"/>
  <c r="E14" i="3"/>
  <c r="E15" i="3" s="1"/>
  <c r="E16" i="3" s="1"/>
  <c r="E17" i="3" s="1"/>
  <c r="D14" i="3"/>
  <c r="D15" i="3" s="1"/>
  <c r="D16" i="3" s="1"/>
  <c r="D17" i="3" s="1"/>
  <c r="E7" i="5"/>
  <c r="C7" i="5"/>
  <c r="C14" i="5"/>
  <c r="C15" i="5" s="1"/>
  <c r="H7" i="5"/>
  <c r="D7" i="5"/>
  <c r="I65" i="1"/>
  <c r="L14" i="3"/>
  <c r="L15" i="3" s="1"/>
  <c r="L16" i="3" s="1"/>
  <c r="L17" i="3" s="1"/>
  <c r="H14" i="3"/>
  <c r="H15" i="3" s="1"/>
  <c r="H16" i="3" s="1"/>
  <c r="H17" i="3" s="1"/>
  <c r="K7" i="5"/>
  <c r="G7" i="5"/>
  <c r="D65" i="1"/>
  <c r="K14" i="3"/>
  <c r="K15" i="3" s="1"/>
  <c r="K16" i="3" s="1"/>
  <c r="K17" i="3" s="1"/>
  <c r="G14" i="3"/>
  <c r="G15" i="3" s="1"/>
  <c r="G16" i="3" s="1"/>
  <c r="G17" i="3" s="1"/>
  <c r="I7" i="5"/>
  <c r="J7" i="5"/>
  <c r="F7" i="5"/>
  <c r="J14" i="3"/>
  <c r="J15" i="3" s="1"/>
  <c r="J16" i="3" s="1"/>
  <c r="J17" i="3" s="1"/>
  <c r="F14" i="3"/>
  <c r="F15" i="3" s="1"/>
  <c r="F16" i="3" s="1"/>
  <c r="F17" i="3" s="1"/>
  <c r="I75" i="1"/>
  <c r="E75" i="1"/>
  <c r="G65" i="1"/>
  <c r="H75" i="1"/>
  <c r="J65" i="1"/>
  <c r="G75" i="1"/>
  <c r="C75" i="1"/>
  <c r="E9" i="3"/>
  <c r="E10" i="3" s="1"/>
  <c r="F9" i="3"/>
  <c r="F10" i="3" s="1"/>
  <c r="G9" i="3"/>
  <c r="G10" i="3" s="1"/>
  <c r="H9" i="3"/>
  <c r="H10" i="3" s="1"/>
  <c r="I9" i="3"/>
  <c r="I10" i="3" s="1"/>
  <c r="J9" i="3"/>
  <c r="J10" i="3" s="1"/>
  <c r="K9" i="3"/>
  <c r="K10" i="3" s="1"/>
  <c r="L9" i="3"/>
  <c r="L10" i="3" s="1"/>
  <c r="D9" i="3"/>
  <c r="D10" i="3" s="1"/>
  <c r="D30" i="3" l="1"/>
  <c r="E30" i="3"/>
  <c r="F30" i="3"/>
  <c r="D31" i="3"/>
  <c r="D29" i="3"/>
  <c r="F31" i="3"/>
  <c r="E31" i="3"/>
  <c r="J30" i="5"/>
  <c r="G30" i="5"/>
  <c r="D30" i="5"/>
  <c r="C30" i="5"/>
  <c r="K30" i="5"/>
  <c r="H30" i="5"/>
  <c r="E30" i="5"/>
  <c r="B16" i="1"/>
  <c r="B15" i="1"/>
  <c r="B14" i="1"/>
  <c r="C36" i="1"/>
  <c r="D12" i="6" s="1"/>
  <c r="D36" i="1"/>
  <c r="E12" i="6" s="1"/>
  <c r="E36" i="1"/>
  <c r="F12" i="6" s="1"/>
  <c r="F36" i="1"/>
  <c r="G12" i="6" s="1"/>
  <c r="G36" i="1"/>
  <c r="H12" i="6" s="1"/>
  <c r="H36" i="1"/>
  <c r="I12" i="6" s="1"/>
  <c r="I36" i="1"/>
  <c r="J12" i="6" s="1"/>
  <c r="J36" i="1"/>
  <c r="K12" i="6" s="1"/>
  <c r="B36" i="1"/>
  <c r="C12" i="6" s="1"/>
  <c r="C10" i="6" l="1"/>
  <c r="I30" i="5"/>
  <c r="E40" i="5"/>
  <c r="D40" i="5"/>
  <c r="F30" i="5"/>
  <c r="C40" i="5"/>
  <c r="B45" i="1" l="1"/>
  <c r="B22" i="1" l="1"/>
  <c r="B23" i="1"/>
  <c r="C6" i="6" s="1"/>
  <c r="C4" i="6"/>
  <c r="C20" i="6"/>
  <c r="C22" i="6" l="1"/>
</calcChain>
</file>

<file path=xl/comments1.xml><?xml version="1.0" encoding="utf-8"?>
<comments xmlns="http://schemas.openxmlformats.org/spreadsheetml/2006/main">
  <authors>
    <author>tc={8ED26EB8-C8AA-4261-9F60-7E9567E95D5E}</author>
    <author>tc={37F832BF-590B-4D43-BFA5-45E3485FC924}</author>
    <author>tc={1D7F9540-3B19-4724-9093-7590614BC5AA}</author>
  </authors>
  <commentList>
    <comment ref="C6" author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Perdas Estimadas ML - 3%</t>
        </r>
      </text>
    </comment>
    <comment ref="C9" authorId="1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Perdas Estimadas ML - 3%</t>
        </r>
      </text>
    </comment>
    <comment ref="C16" authorId="2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Perdas Estimadas ML - 3%</t>
        </r>
      </text>
    </comment>
  </commentList>
</comments>
</file>

<file path=xl/sharedStrings.xml><?xml version="1.0" encoding="utf-8"?>
<sst xmlns="http://schemas.openxmlformats.org/spreadsheetml/2006/main" count="370" uniqueCount="139">
  <si>
    <t>Preços de Consumo (Posto Fábrica)</t>
  </si>
  <si>
    <t>AES</t>
  </si>
  <si>
    <t>CHESF</t>
  </si>
  <si>
    <t>CPFL (Metalurgia)</t>
  </si>
  <si>
    <t>Proinfa</t>
  </si>
  <si>
    <t>Preço transmissao -TUST fio</t>
  </si>
  <si>
    <t>Preço Conexão</t>
  </si>
  <si>
    <t>CDE</t>
  </si>
  <si>
    <t>TUST PROINFA</t>
  </si>
  <si>
    <t>ESS</t>
  </si>
  <si>
    <t>EER</t>
  </si>
  <si>
    <t>Total Encargos</t>
  </si>
  <si>
    <t xml:space="preserve">TUSD Fio </t>
  </si>
  <si>
    <t>TUSD Encargos</t>
  </si>
  <si>
    <t>Volume de Contratos (MWmédios)</t>
  </si>
  <si>
    <t>Horas</t>
  </si>
  <si>
    <t>Mês</t>
  </si>
  <si>
    <t>Volume de Contratos (MWh)</t>
  </si>
  <si>
    <t>Médio Demais Contratos</t>
  </si>
  <si>
    <t>Encargos (R$/MWh)</t>
  </si>
  <si>
    <t>Metalurgia</t>
  </si>
  <si>
    <t>Preços do Porftólio para Cessão (R$/MWh)</t>
  </si>
  <si>
    <t>Preços de Consumo Energia MCP (R$/MWh)</t>
  </si>
  <si>
    <t>Preço de Energia no MCP(R$/MWh)</t>
  </si>
  <si>
    <t>Mineração Ipueira</t>
  </si>
  <si>
    <t>Prime Energy</t>
  </si>
  <si>
    <t>CPFL</t>
  </si>
  <si>
    <t>Prime</t>
  </si>
  <si>
    <t>Média dos Contratos (R$/MWh)</t>
  </si>
  <si>
    <t>Total Encargos Mineração com Desconto %</t>
  </si>
  <si>
    <t>Valor</t>
  </si>
  <si>
    <t>Premissas:</t>
  </si>
  <si>
    <t>Energia para Consumo</t>
  </si>
  <si>
    <t>ML</t>
  </si>
  <si>
    <t>Energia para Venda</t>
  </si>
  <si>
    <t>Montantes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</si>
  <si>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</si>
  <si>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</si>
  <si>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</si>
  <si>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</si>
  <si>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</si>
  <si>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</si>
  <si>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</si>
  <si>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</si>
  <si>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</si>
  <si>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IPUEIRA</t>
  </si>
  <si>
    <t>PRIME</t>
  </si>
  <si>
    <t>PROINFA</t>
  </si>
  <si>
    <t>Total</t>
  </si>
  <si>
    <t>Desc. Perdas</t>
  </si>
  <si>
    <t>Desc. Auxiliar</t>
  </si>
  <si>
    <t>Energia Fornos Fora Ponta
(717007)</t>
  </si>
  <si>
    <t>Energia Fornos Hora Ponta
(717008)</t>
  </si>
  <si>
    <t>Subtotal FORNOS</t>
  </si>
  <si>
    <t>Sinterização + Aux Fornos FP (Direto)</t>
  </si>
  <si>
    <t>Sinterização + Aux Fornos HP (Direto)</t>
  </si>
  <si>
    <t xml:space="preserve">Subtotal </t>
  </si>
  <si>
    <t>Auxiliar Fora Ponta
(Sem Sinterização e Forno)
(717003)</t>
  </si>
  <si>
    <t>Auxiliar Hora Ponta
(Sem Sinterização e Forno)
(717004)</t>
  </si>
  <si>
    <t>Subtotal Aux</t>
  </si>
  <si>
    <t>Medidor SMART1 FP</t>
  </si>
  <si>
    <t>Medidor SMART1 HP</t>
  </si>
  <si>
    <t>TOTAL Medidor SMART1</t>
  </si>
  <si>
    <t>Forno</t>
  </si>
  <si>
    <t>Auxiliar</t>
  </si>
  <si>
    <t>Média</t>
  </si>
  <si>
    <t>Ajuste Produtividade Andorinha</t>
  </si>
  <si>
    <t>Atual</t>
  </si>
  <si>
    <t>Capacidade</t>
  </si>
  <si>
    <t>Sobra</t>
  </si>
  <si>
    <t>Uso</t>
  </si>
  <si>
    <t>Ajustada</t>
  </si>
  <si>
    <t>Informação Wiclef</t>
  </si>
  <si>
    <t>Preço para Consumo</t>
  </si>
  <si>
    <t>Preços Metalurgia</t>
  </si>
  <si>
    <t>Preços de Consumo Energia CHESF (R$/MWh)</t>
  </si>
  <si>
    <t>Preços de Consumo Energia ML (R$/MWh)</t>
  </si>
  <si>
    <t>Preços do Porftólio para Cessão  CHESF (R$/MWh)</t>
  </si>
  <si>
    <t>Preços do Porftólio para Cessão ML (R$/MWh)</t>
  </si>
  <si>
    <t>Preço de Energia Uso Energia MCP(R$/MWh)</t>
  </si>
  <si>
    <t>Preço de Energia Cessão MCP(R$/MWh)</t>
  </si>
  <si>
    <t>Atualizado com Perdas</t>
  </si>
  <si>
    <t>AUREN (APE)</t>
  </si>
  <si>
    <t>JAN</t>
  </si>
  <si>
    <t>FEV</t>
  </si>
  <si>
    <t>MAR</t>
  </si>
  <si>
    <t>Preço Contrato (R$)</t>
  </si>
  <si>
    <t>Data Base</t>
  </si>
  <si>
    <t>Índice de Reajuste</t>
  </si>
  <si>
    <t>Preço Reajustado (R$)</t>
  </si>
  <si>
    <t>Preço Reajustado [SEM PIS/COFINS](R$)</t>
  </si>
  <si>
    <t>IPCA</t>
  </si>
  <si>
    <t>AUREN</t>
  </si>
  <si>
    <r>
      <t xml:space="preserve">N° Índice de Reajuste 
</t>
    </r>
    <r>
      <rPr>
        <b/>
        <i/>
        <sz val="8"/>
        <color theme="1"/>
        <rFont val="Calibri"/>
        <family val="2"/>
        <scheme val="minor"/>
      </rPr>
      <t>(JAN 2024)</t>
    </r>
  </si>
  <si>
    <r>
      <t xml:space="preserve">Expectativa Inflação 2024 
</t>
    </r>
    <r>
      <rPr>
        <b/>
        <i/>
        <sz val="8"/>
        <color theme="1"/>
        <rFont val="Calibri"/>
        <family val="2"/>
        <scheme val="minor"/>
      </rPr>
      <t>(Jan 2025)</t>
    </r>
  </si>
  <si>
    <t>Encargos (R$/MWh) - Sem APE</t>
  </si>
  <si>
    <t xml:space="preserve">Encargos (R$/MWh) - Com APE </t>
  </si>
  <si>
    <t>Horas FP</t>
  </si>
  <si>
    <t>Horas HP</t>
  </si>
  <si>
    <t>HP</t>
  </si>
  <si>
    <t>FP</t>
  </si>
  <si>
    <t>Energia FP</t>
  </si>
  <si>
    <t>Energia HP</t>
  </si>
  <si>
    <t>TUSD FIO</t>
  </si>
  <si>
    <t>Custo FP</t>
  </si>
  <si>
    <t>Custo HP</t>
  </si>
  <si>
    <t>Consolidado</t>
  </si>
  <si>
    <t>TUSD - FIO</t>
  </si>
  <si>
    <t>TUSD - Encargos</t>
  </si>
  <si>
    <t>Preço Médio - Trimestral (RESUMO)</t>
  </si>
  <si>
    <t>1T 2024</t>
  </si>
  <si>
    <t>2T 2024</t>
  </si>
  <si>
    <t>3T 2024</t>
  </si>
  <si>
    <t>4T 2024</t>
  </si>
  <si>
    <t>TUSD - Fio FP</t>
  </si>
  <si>
    <t>TUSD - Fio HP</t>
  </si>
  <si>
    <t>Encargos - FP</t>
  </si>
  <si>
    <t>Encargos - HP</t>
  </si>
  <si>
    <t>R$/MWh</t>
  </si>
  <si>
    <t>R$/MW</t>
  </si>
  <si>
    <t>Demanda Contratada (kW)</t>
  </si>
  <si>
    <t>Energia (MWMed)</t>
  </si>
  <si>
    <t>Valores a Partir de Abril - Reajuste ANUAL COELBA</t>
  </si>
  <si>
    <t>Valores JAN a MAR COELBA</t>
  </si>
  <si>
    <t>Curva BBCE Incentivada 50% - 01/07/2024</t>
  </si>
  <si>
    <t>Curva BBCE Convencional - 01/07/2024</t>
  </si>
  <si>
    <t>Preço de Energia no MCP(R$/MWh) - Convencional</t>
  </si>
  <si>
    <t>1T-2025</t>
  </si>
  <si>
    <t>2T-2025</t>
  </si>
  <si>
    <t>3T-2025</t>
  </si>
  <si>
    <t>4T-2025</t>
  </si>
  <si>
    <t>BASE TRIMESTRAL</t>
  </si>
  <si>
    <t>Metalurgia - CHESF</t>
  </si>
  <si>
    <t>Metalurgia - ML</t>
  </si>
  <si>
    <t>Reajuste dos contratos de energia conforme contrato - índice de Correção IPCA estimativa Relatório Focus BACEN 28/06/2024 = 4% para 2025</t>
  </si>
  <si>
    <t>Encargos Setoriais considerando os Benefícios de APE na sua proporção de energia do Portfólio</t>
  </si>
  <si>
    <t>Encargos Setoriais Mineração IPUEIRA - Até Março resolução homologatória ANEEL  3320 de abril de 2024 e de Abril em diante estimativa ABRACE.</t>
  </si>
  <si>
    <t>Valor energia Spot: Curva de preços BBCE de 01/07/2024</t>
  </si>
  <si>
    <t>Proinfa: Média dos valores recebidos em 2024 até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</si>
</sst>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0.000"/>
    <numFmt numFmtId="165" formatCode="_-* #,##0.0000_-;\-* #,##0.0000_-;_-* &quot;-&quot;??_-;_-@_-"/>
    <numFmt numFmtId="166" formatCode="_(* #,##0.00_);_(* \(#,##0.00\);_(* &quot;-&quot;??_);_(@_)"/>
    <numFmt numFmtId="167" formatCode="_-* #,##0_-;\-* #,##0_-;_-* &quot;-&quot;??_-;_-@_-"/>
    <numFmt numFmtId="168" formatCode="_-* #,##0.0000_-;\-* #,##0.0000_-;_-* &quot;-&quot;????_-;_-@_-"/>
    <numFmt numFmtId="169" formatCode="_-* #,##0.0_-;\-* #,##0.0_-;_-* &quot;-&quot;??_-;_-@_-"/>
    <numFmt numFmtId="170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b/>
      <sz val="10"/>
      <color rgb="FF00D8D8"/>
      <name val="Arial"/>
      <family val="2"/>
    </font>
    <font>
      <sz val="10"/>
      <color rgb="FFFFFFFF"/>
      <name val="Arial"/>
      <family val="2"/>
    </font>
    <font>
      <b/>
      <i/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color theme="0" tint="-4.9989318521683403E-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132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2F3F4E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94">
    <xf numFmtId="0" fontId="0" fillId="0" borderId="0" xfId="0"/>
    <xf numFmtId="0" fontId="0" fillId="3" borderId="0" xfId="0" applyFill="1"/>
    <xf numFmtId="0" fontId="0" fillId="2" borderId="0" xfId="0" applyFill="1"/>
    <xf numFmtId="17" fontId="0" fillId="2" borderId="0" xfId="0" applyNumberFormat="1" applyFill="1"/>
    <xf numFmtId="164" fontId="0" fillId="2" borderId="0" xfId="0" applyNumberFormat="1" applyFill="1"/>
    <xf numFmtId="165" fontId="0" fillId="2" borderId="0" xfId="1" applyNumberFormat="1" applyFont="1" applyFill="1"/>
    <xf numFmtId="2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/>
    <xf numFmtId="0" fontId="0" fillId="4" borderId="0" xfId="0" applyFill="1"/>
    <xf numFmtId="0" fontId="0" fillId="5" borderId="0" xfId="0" applyFill="1"/>
    <xf numFmtId="10" fontId="0" fillId="5" borderId="0" xfId="2" applyNumberFormat="1" applyFont="1" applyFill="1"/>
    <xf numFmtId="0" fontId="0" fillId="0" borderId="0" xfId="0" applyAlignment="1">
      <alignment vertical="center"/>
    </xf>
    <xf numFmtId="2" fontId="0" fillId="3" borderId="0" xfId="0" applyNumberFormat="1" applyFill="1"/>
    <xf numFmtId="2" fontId="5" fillId="4" borderId="0" xfId="0" applyNumberFormat="1" applyFont="1" applyFill="1"/>
    <xf numFmtId="0" fontId="6" fillId="0" borderId="0" xfId="3"/>
    <xf numFmtId="0" fontId="7" fillId="8" borderId="5" xfId="3" applyFont="1" applyFill="1" applyBorder="1" applyAlignment="1">
      <alignment horizontal="center" vertical="center" wrapText="1"/>
    </xf>
    <xf numFmtId="0" fontId="8" fillId="8" borderId="5" xfId="3" applyFont="1" applyFill="1" applyBorder="1" applyAlignment="1">
      <alignment horizontal="center" vertical="center" wrapText="1"/>
    </xf>
    <xf numFmtId="0" fontId="8" fillId="8" borderId="0" xfId="3" applyFont="1" applyFill="1" applyAlignment="1">
      <alignment horizontal="center" vertical="center" wrapText="1"/>
    </xf>
    <xf numFmtId="17" fontId="6" fillId="0" borderId="5" xfId="3" applyNumberFormat="1" applyBorder="1" applyAlignment="1">
      <alignment horizontal="center"/>
    </xf>
    <xf numFmtId="4" fontId="6" fillId="0" borderId="5" xfId="3" applyNumberFormat="1" applyBorder="1" applyAlignment="1">
      <alignment horizontal="center"/>
    </xf>
    <xf numFmtId="4" fontId="6" fillId="0" borderId="0" xfId="3" applyNumberFormat="1" applyAlignment="1">
      <alignment horizontal="center"/>
    </xf>
    <xf numFmtId="4" fontId="6" fillId="0" borderId="5" xfId="3" applyNumberFormat="1" applyBorder="1" applyAlignment="1">
      <alignment horizontal="center" vertical="center"/>
    </xf>
    <xf numFmtId="4" fontId="0" fillId="0" borderId="5" xfId="4" applyNumberFormat="1" applyFont="1" applyBorder="1" applyAlignment="1">
      <alignment horizontal="center"/>
    </xf>
    <xf numFmtId="10" fontId="0" fillId="0" borderId="5" xfId="5" applyNumberFormat="1" applyFont="1" applyBorder="1" applyAlignment="1">
      <alignment horizontal="center"/>
    </xf>
    <xf numFmtId="4" fontId="0" fillId="0" borderId="0" xfId="4" applyNumberFormat="1" applyFont="1" applyFill="1" applyBorder="1" applyAlignment="1">
      <alignment horizontal="center"/>
    </xf>
    <xf numFmtId="4" fontId="0" fillId="0" borderId="5" xfId="4" applyNumberFormat="1" applyFont="1" applyFill="1" applyBorder="1" applyAlignment="1">
      <alignment horizontal="center"/>
    </xf>
    <xf numFmtId="17" fontId="6" fillId="0" borderId="6" xfId="3" applyNumberFormat="1" applyBorder="1" applyAlignment="1">
      <alignment horizontal="center"/>
    </xf>
    <xf numFmtId="10" fontId="9" fillId="9" borderId="0" xfId="3" applyNumberFormat="1" applyFont="1" applyFill="1"/>
    <xf numFmtId="166" fontId="9" fillId="9" borderId="0" xfId="4" applyFont="1" applyFill="1"/>
    <xf numFmtId="10" fontId="10" fillId="7" borderId="0" xfId="5" applyNumberFormat="1" applyFont="1" applyFill="1" applyAlignment="1">
      <alignment horizontal="center"/>
    </xf>
    <xf numFmtId="0" fontId="2" fillId="0" borderId="0" xfId="3" applyFont="1"/>
    <xf numFmtId="0" fontId="6" fillId="0" borderId="0" xfId="3" applyAlignment="1">
      <alignment vertical="center"/>
    </xf>
    <xf numFmtId="167" fontId="0" fillId="0" borderId="0" xfId="4" applyNumberFormat="1" applyFont="1"/>
    <xf numFmtId="166" fontId="0" fillId="0" borderId="0" xfId="4" applyFont="1"/>
    <xf numFmtId="3" fontId="6" fillId="0" borderId="0" xfId="3" applyNumberFormat="1"/>
    <xf numFmtId="166" fontId="0" fillId="0" borderId="0" xfId="4" applyFont="1" applyAlignment="1">
      <alignment horizontal="center"/>
    </xf>
    <xf numFmtId="43" fontId="6" fillId="0" borderId="0" xfId="3" applyNumberFormat="1" applyAlignment="1">
      <alignment horizontal="center"/>
    </xf>
    <xf numFmtId="43" fontId="6" fillId="0" borderId="0" xfId="3" applyNumberFormat="1"/>
    <xf numFmtId="0" fontId="6" fillId="0" borderId="0" xfId="3" applyAlignment="1">
      <alignment horizontal="center"/>
    </xf>
    <xf numFmtId="0" fontId="0" fillId="2" borderId="4" xfId="0" applyFill="1" applyBorder="1"/>
    <xf numFmtId="2" fontId="0" fillId="2" borderId="4" xfId="0" applyNumberFormat="1" applyFill="1" applyBorder="1"/>
    <xf numFmtId="0" fontId="0" fillId="3" borderId="8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5" fillId="4" borderId="8" xfId="0" applyFont="1" applyFill="1" applyBorder="1"/>
    <xf numFmtId="0" fontId="0" fillId="0" borderId="8" xfId="0" applyBorder="1"/>
    <xf numFmtId="0" fontId="0" fillId="7" borderId="10" xfId="0" applyFill="1" applyBorder="1"/>
    <xf numFmtId="0" fontId="0" fillId="7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2" fontId="0" fillId="2" borderId="8" xfId="0" applyNumberFormat="1" applyFill="1" applyBorder="1"/>
    <xf numFmtId="2" fontId="0" fillId="2" borderId="9" xfId="0" applyNumberFormat="1" applyFill="1" applyBorder="1"/>
    <xf numFmtId="2" fontId="0" fillId="3" borderId="8" xfId="0" applyNumberFormat="1" applyFill="1" applyBorder="1"/>
    <xf numFmtId="2" fontId="5" fillId="4" borderId="8" xfId="0" applyNumberFormat="1" applyFont="1" applyFill="1" applyBorder="1"/>
    <xf numFmtId="0" fontId="12" fillId="0" borderId="0" xfId="0" applyFont="1"/>
    <xf numFmtId="0" fontId="5" fillId="2" borderId="0" xfId="0" applyFont="1" applyFill="1"/>
    <xf numFmtId="0" fontId="11" fillId="2" borderId="0" xfId="0" applyFont="1" applyFill="1"/>
    <xf numFmtId="0" fontId="13" fillId="2" borderId="0" xfId="0" applyFont="1" applyFill="1" applyAlignment="1">
      <alignment horizontal="center"/>
    </xf>
    <xf numFmtId="2" fontId="5" fillId="4" borderId="4" xfId="0" applyNumberFormat="1" applyFont="1" applyFill="1" applyBorder="1"/>
    <xf numFmtId="43" fontId="0" fillId="0" borderId="0" xfId="0" applyNumberFormat="1"/>
    <xf numFmtId="0" fontId="0" fillId="4" borderId="8" xfId="0" applyFill="1" applyBorder="1"/>
    <xf numFmtId="0" fontId="5" fillId="10" borderId="10" xfId="0" applyFont="1" applyFill="1" applyBorder="1"/>
    <xf numFmtId="2" fontId="5" fillId="10" borderId="11" xfId="0" applyNumberFormat="1" applyFont="1" applyFill="1" applyBorder="1"/>
    <xf numFmtId="0" fontId="5" fillId="11" borderId="10" xfId="0" applyFont="1" applyFill="1" applyBorder="1"/>
    <xf numFmtId="2" fontId="5" fillId="11" borderId="11" xfId="0" applyNumberFormat="1" applyFont="1" applyFill="1" applyBorder="1"/>
    <xf numFmtId="0" fontId="5" fillId="12" borderId="10" xfId="0" applyFont="1" applyFill="1" applyBorder="1"/>
    <xf numFmtId="0" fontId="5" fillId="12" borderId="11" xfId="0" applyFont="1" applyFill="1" applyBorder="1"/>
    <xf numFmtId="2" fontId="0" fillId="2" borderId="13" xfId="0" applyNumberFormat="1" applyFill="1" applyBorder="1"/>
    <xf numFmtId="2" fontId="0" fillId="2" borderId="14" xfId="0" applyNumberFormat="1" applyFill="1" applyBorder="1"/>
    <xf numFmtId="2" fontId="0" fillId="2" borderId="15" xfId="0" applyNumberFormat="1" applyFill="1" applyBorder="1"/>
    <xf numFmtId="0" fontId="0" fillId="13" borderId="0" xfId="0" applyFill="1"/>
    <xf numFmtId="2" fontId="0" fillId="13" borderId="0" xfId="0" applyNumberFormat="1" applyFill="1"/>
    <xf numFmtId="2" fontId="5" fillId="12" borderId="11" xfId="0" applyNumberFormat="1" applyFont="1" applyFill="1" applyBorder="1"/>
    <xf numFmtId="0" fontId="0" fillId="7" borderId="0" xfId="0" applyFill="1"/>
    <xf numFmtId="17" fontId="0" fillId="0" borderId="0" xfId="0" applyNumberFormat="1"/>
    <xf numFmtId="43" fontId="0" fillId="0" borderId="0" xfId="1" applyFont="1"/>
    <xf numFmtId="168" fontId="0" fillId="2" borderId="0" xfId="0" applyNumberFormat="1" applyFill="1"/>
    <xf numFmtId="168" fontId="0" fillId="0" borderId="0" xfId="0" applyNumberFormat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5" fillId="0" borderId="0" xfId="0" applyFont="1" applyFill="1"/>
    <xf numFmtId="0" fontId="5" fillId="7" borderId="0" xfId="0" applyFont="1" applyFill="1"/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/>
    <xf numFmtId="2" fontId="0" fillId="2" borderId="5" xfId="0" applyNumberFormat="1" applyFill="1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" fontId="6" fillId="14" borderId="5" xfId="3" applyNumberFormat="1" applyFill="1" applyBorder="1" applyAlignment="1">
      <alignment horizontal="center"/>
    </xf>
    <xf numFmtId="4" fontId="6" fillId="14" borderId="5" xfId="3" applyNumberFormat="1" applyFill="1" applyBorder="1" applyAlignment="1">
      <alignment horizontal="center" vertical="center"/>
    </xf>
    <xf numFmtId="4" fontId="0" fillId="14" borderId="5" xfId="4" applyNumberFormat="1" applyFont="1" applyFill="1" applyBorder="1" applyAlignment="1">
      <alignment horizontal="center"/>
    </xf>
    <xf numFmtId="10" fontId="0" fillId="14" borderId="5" xfId="5" applyNumberFormat="1" applyFont="1" applyFill="1" applyBorder="1" applyAlignment="1">
      <alignment horizontal="center"/>
    </xf>
    <xf numFmtId="4" fontId="6" fillId="0" borderId="5" xfId="3" applyNumberFormat="1" applyFill="1" applyBorder="1" applyAlignment="1">
      <alignment horizontal="center"/>
    </xf>
    <xf numFmtId="4" fontId="6" fillId="0" borderId="0" xfId="3" applyNumberFormat="1" applyFill="1" applyAlignment="1">
      <alignment horizontal="center"/>
    </xf>
    <xf numFmtId="4" fontId="6" fillId="0" borderId="5" xfId="3" applyNumberFormat="1" applyFill="1" applyBorder="1" applyAlignment="1">
      <alignment horizontal="center" vertical="center"/>
    </xf>
    <xf numFmtId="10" fontId="0" fillId="0" borderId="5" xfId="5" applyNumberFormat="1" applyFont="1" applyFill="1" applyBorder="1" applyAlignment="1">
      <alignment horizontal="center"/>
    </xf>
    <xf numFmtId="0" fontId="6" fillId="0" borderId="0" xfId="3" applyFill="1"/>
    <xf numFmtId="2" fontId="2" fillId="2" borderId="0" xfId="0" applyNumberFormat="1" applyFont="1" applyFill="1"/>
    <xf numFmtId="164" fontId="2" fillId="2" borderId="0" xfId="0" applyNumberFormat="1" applyFont="1" applyFill="1"/>
    <xf numFmtId="0" fontId="0" fillId="15" borderId="0" xfId="0" applyFill="1"/>
    <xf numFmtId="0" fontId="0" fillId="2" borderId="0" xfId="0" applyFill="1" applyBorder="1"/>
    <xf numFmtId="2" fontId="0" fillId="2" borderId="0" xfId="0" applyNumberFormat="1" applyFill="1" applyBorder="1"/>
    <xf numFmtId="0" fontId="0" fillId="7" borderId="1" xfId="0" applyFill="1" applyBorder="1" applyAlignment="1">
      <alignment horizontal="center"/>
    </xf>
    <xf numFmtId="0" fontId="0" fillId="7" borderId="12" xfId="0" applyFill="1" applyBorder="1"/>
    <xf numFmtId="0" fontId="0" fillId="2" borderId="16" xfId="0" applyFill="1" applyBorder="1"/>
    <xf numFmtId="0" fontId="0" fillId="2" borderId="6" xfId="0" applyFill="1" applyBorder="1"/>
    <xf numFmtId="0" fontId="0" fillId="2" borderId="17" xfId="0" applyFill="1" applyBorder="1"/>
    <xf numFmtId="165" fontId="2" fillId="2" borderId="0" xfId="1" applyNumberFormat="1" applyFont="1" applyFill="1"/>
    <xf numFmtId="2" fontId="0" fillId="0" borderId="0" xfId="0" applyNumberFormat="1"/>
    <xf numFmtId="0" fontId="1" fillId="0" borderId="0" xfId="6"/>
    <xf numFmtId="0" fontId="1" fillId="0" borderId="0" xfId="6" applyAlignment="1">
      <alignment horizontal="center"/>
    </xf>
    <xf numFmtId="0" fontId="1" fillId="0" borderId="5" xfId="6" applyBorder="1" applyAlignment="1">
      <alignment horizontal="center"/>
    </xf>
    <xf numFmtId="0" fontId="1" fillId="0" borderId="5" xfId="6" applyBorder="1"/>
    <xf numFmtId="0" fontId="1" fillId="0" borderId="5" xfId="6" applyBorder="1" applyAlignment="1">
      <alignment horizontal="center" vertical="center"/>
    </xf>
    <xf numFmtId="0" fontId="0" fillId="0" borderId="5" xfId="7" applyFont="1" applyBorder="1" applyAlignment="1">
      <alignment horizontal="center"/>
    </xf>
    <xf numFmtId="0" fontId="0" fillId="0" borderId="5" xfId="7" applyFont="1" applyBorder="1" applyAlignment="1">
      <alignment horizontal="center" vertical="center"/>
    </xf>
    <xf numFmtId="43" fontId="1" fillId="0" borderId="5" xfId="6" applyNumberFormat="1" applyBorder="1"/>
    <xf numFmtId="0" fontId="16" fillId="7" borderId="5" xfId="6" applyFont="1" applyFill="1" applyBorder="1" applyAlignment="1">
      <alignment horizontal="center"/>
    </xf>
    <xf numFmtId="2" fontId="1" fillId="0" borderId="5" xfId="6" applyNumberFormat="1" applyBorder="1"/>
    <xf numFmtId="0" fontId="1" fillId="0" borderId="7" xfId="8" applyBorder="1"/>
    <xf numFmtId="0" fontId="6" fillId="0" borderId="1" xfId="8" applyFont="1" applyBorder="1" applyAlignment="1">
      <alignment horizontal="center"/>
    </xf>
    <xf numFmtId="0" fontId="6" fillId="0" borderId="13" xfId="8" applyFont="1" applyBorder="1" applyAlignment="1">
      <alignment horizontal="center"/>
    </xf>
    <xf numFmtId="0" fontId="1" fillId="0" borderId="8" xfId="6" applyBorder="1"/>
    <xf numFmtId="4" fontId="1" fillId="0" borderId="0" xfId="8" applyNumberFormat="1" applyAlignment="1">
      <alignment horizontal="center"/>
    </xf>
    <xf numFmtId="4" fontId="1" fillId="0" borderId="14" xfId="8" applyNumberFormat="1" applyBorder="1" applyAlignment="1">
      <alignment horizontal="center"/>
    </xf>
    <xf numFmtId="0" fontId="1" fillId="0" borderId="18" xfId="6" applyBorder="1"/>
    <xf numFmtId="4" fontId="1" fillId="0" borderId="3" xfId="8" applyNumberFormat="1" applyBorder="1" applyAlignment="1">
      <alignment horizontal="center"/>
    </xf>
    <xf numFmtId="4" fontId="1" fillId="0" borderId="19" xfId="8" applyNumberFormat="1" applyBorder="1" applyAlignment="1">
      <alignment horizontal="center"/>
    </xf>
    <xf numFmtId="2" fontId="1" fillId="0" borderId="0" xfId="6" applyNumberFormat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9" fontId="1" fillId="0" borderId="5" xfId="6" applyNumberFormat="1" applyBorder="1"/>
    <xf numFmtId="43" fontId="1" fillId="0" borderId="0" xfId="1" applyAlignment="1"/>
    <xf numFmtId="0" fontId="1" fillId="0" borderId="0" xfId="6" applyAlignment="1"/>
    <xf numFmtId="0" fontId="17" fillId="6" borderId="2" xfId="0" applyFont="1" applyFill="1" applyBorder="1" applyAlignment="1">
      <alignment horizontal="center" vertical="center" wrapText="1"/>
    </xf>
    <xf numFmtId="17" fontId="18" fillId="6" borderId="2" xfId="0" applyNumberFormat="1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9" fillId="0" borderId="0" xfId="0" applyFont="1"/>
    <xf numFmtId="164" fontId="0" fillId="2" borderId="0" xfId="0" applyNumberFormat="1" applyFill="1" applyBorder="1"/>
    <xf numFmtId="2" fontId="0" fillId="4" borderId="0" xfId="0" applyNumberFormat="1" applyFill="1" applyBorder="1"/>
    <xf numFmtId="0" fontId="0" fillId="4" borderId="6" xfId="0" applyFill="1" applyBorder="1"/>
    <xf numFmtId="0" fontId="5" fillId="4" borderId="17" xfId="0" applyFont="1" applyFill="1" applyBorder="1"/>
    <xf numFmtId="0" fontId="0" fillId="7" borderId="5" xfId="0" applyFill="1" applyBorder="1"/>
    <xf numFmtId="0" fontId="0" fillId="4" borderId="14" xfId="0" applyFill="1" applyBorder="1"/>
    <xf numFmtId="0" fontId="0" fillId="2" borderId="5" xfId="0" applyFill="1" applyBorder="1"/>
    <xf numFmtId="0" fontId="3" fillId="7" borderId="1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31" xfId="0" applyFont="1" applyFill="1" applyBorder="1" applyAlignment="1">
      <alignment horizontal="center"/>
    </xf>
    <xf numFmtId="2" fontId="5" fillId="10" borderId="32" xfId="0" applyNumberFormat="1" applyFont="1" applyFill="1" applyBorder="1"/>
    <xf numFmtId="2" fontId="5" fillId="11" borderId="32" xfId="0" applyNumberFormat="1" applyFont="1" applyFill="1" applyBorder="1"/>
    <xf numFmtId="2" fontId="5" fillId="12" borderId="32" xfId="0" applyNumberFormat="1" applyFont="1" applyFill="1" applyBorder="1"/>
    <xf numFmtId="0" fontId="5" fillId="12" borderId="32" xfId="0" applyFont="1" applyFill="1" applyBorder="1"/>
    <xf numFmtId="0" fontId="5" fillId="2" borderId="33" xfId="0" applyFont="1" applyFill="1" applyBorder="1" applyAlignment="1">
      <alignment horizontal="center"/>
    </xf>
    <xf numFmtId="2" fontId="5" fillId="10" borderId="34" xfId="0" applyNumberFormat="1" applyFont="1" applyFill="1" applyBorder="1"/>
    <xf numFmtId="0" fontId="5" fillId="2" borderId="33" xfId="0" applyFont="1" applyFill="1" applyBorder="1"/>
    <xf numFmtId="2" fontId="5" fillId="11" borderId="34" xfId="0" applyNumberFormat="1" applyFont="1" applyFill="1" applyBorder="1"/>
    <xf numFmtId="2" fontId="5" fillId="12" borderId="34" xfId="0" applyNumberFormat="1" applyFont="1" applyFill="1" applyBorder="1"/>
    <xf numFmtId="0" fontId="5" fillId="12" borderId="34" xfId="0" applyFont="1" applyFill="1" applyBorder="1"/>
    <xf numFmtId="0" fontId="5" fillId="2" borderId="0" xfId="0" applyFont="1" applyFill="1" applyAlignment="1">
      <alignment horizontal="center" vertical="center"/>
    </xf>
    <xf numFmtId="165" fontId="14" fillId="2" borderId="0" xfId="1" applyNumberFormat="1" applyFont="1" applyFill="1"/>
    <xf numFmtId="0" fontId="20" fillId="2" borderId="0" xfId="0" applyFont="1" applyFill="1"/>
    <xf numFmtId="0" fontId="5" fillId="10" borderId="10" xfId="0" applyFont="1" applyFill="1" applyBorder="1" applyAlignment="1">
      <alignment horizontal="center" vertical="center"/>
    </xf>
    <xf numFmtId="165" fontId="21" fillId="4" borderId="0" xfId="0" applyNumberFormat="1" applyFont="1" applyFill="1"/>
    <xf numFmtId="0" fontId="12" fillId="0" borderId="0" xfId="0" applyFont="1" applyAlignment="1">
      <alignment horizontal="left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0" borderId="3" xfId="3" applyBorder="1" applyAlignment="1">
      <alignment horizontal="center"/>
    </xf>
    <xf numFmtId="0" fontId="3" fillId="7" borderId="0" xfId="3" applyFont="1" applyFill="1" applyAlignment="1">
      <alignment horizontal="center"/>
    </xf>
    <xf numFmtId="0" fontId="1" fillId="0" borderId="5" xfId="6" applyBorder="1" applyAlignment="1">
      <alignment horizontal="center"/>
    </xf>
    <xf numFmtId="0" fontId="16" fillId="7" borderId="10" xfId="6" applyFont="1" applyFill="1" applyBorder="1" applyAlignment="1">
      <alignment horizontal="center"/>
    </xf>
    <xf numFmtId="0" fontId="16" fillId="7" borderId="11" xfId="6" applyFont="1" applyFill="1" applyBorder="1" applyAlignment="1">
      <alignment horizontal="center"/>
    </xf>
    <xf numFmtId="0" fontId="16" fillId="7" borderId="12" xfId="6" applyFont="1" applyFill="1" applyBorder="1" applyAlignment="1">
      <alignment horizontal="center"/>
    </xf>
    <xf numFmtId="0" fontId="6" fillId="0" borderId="7" xfId="8" applyFont="1" applyBorder="1" applyAlignment="1">
      <alignment horizontal="center" vertical="center"/>
    </xf>
    <xf numFmtId="0" fontId="1" fillId="0" borderId="1" xfId="8" applyBorder="1" applyAlignment="1">
      <alignment horizontal="center" vertical="center"/>
    </xf>
    <xf numFmtId="0" fontId="1" fillId="0" borderId="13" xfId="8" applyBorder="1" applyAlignment="1">
      <alignment horizontal="center" vertical="center"/>
    </xf>
    <xf numFmtId="0" fontId="1" fillId="0" borderId="28" xfId="6" applyBorder="1" applyAlignment="1">
      <alignment horizontal="center"/>
    </xf>
    <xf numFmtId="0" fontId="1" fillId="0" borderId="29" xfId="6" applyBorder="1" applyAlignment="1">
      <alignment horizontal="center"/>
    </xf>
    <xf numFmtId="0" fontId="1" fillId="0" borderId="30" xfId="6" applyBorder="1" applyAlignment="1">
      <alignment horizontal="center"/>
    </xf>
    <xf numFmtId="0" fontId="1" fillId="0" borderId="0" xfId="6" applyAlignment="1">
      <alignment horizontal="center"/>
    </xf>
    <xf numFmtId="170" fontId="0" fillId="2" borderId="0" xfId="0" applyNumberFormat="1" applyFill="1"/>
  </cellXfs>
  <cellStyles count="9">
    <cellStyle name="Normal" xfId="0" builtinId="0"/>
    <cellStyle name="Normal 2" xfId="8"/>
    <cellStyle name="Normal 4" xfId="6"/>
    <cellStyle name="Normal 6" xfId="3"/>
    <cellStyle name="Porcentagem" xfId="2" builtinId="5"/>
    <cellStyle name="Porcentagem 4" xfId="5"/>
    <cellStyle name="Vírgula" xfId="1" builtinId="3"/>
    <cellStyle name="Vírgula 3" xfId="7"/>
    <cellStyle name="Vírgula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61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5</xdr:row>
      <xdr:rowOff>782</xdr:rowOff>
    </xdr:from>
    <xdr:to>
      <xdr:col>21</xdr:col>
      <xdr:colOff>220144</xdr:colOff>
      <xdr:row>16</xdr:row>
      <xdr:rowOff>22608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51C33EBD-4001-97C5-5A0E-FADAE3A27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2325" y="953282"/>
          <a:ext cx="3877744" cy="2117326"/>
        </a:xfrm>
        <a:prstGeom prst="rect">
          <a:avLst/>
        </a:prstGeom>
      </xdr:spPr>
    </xdr:pic>
    <xdr:clientData/>
  </xdr:twoCellAnchor>
  <xdr:twoCellAnchor editAs="oneCell">
    <xdr:from>
      <xdr:col>15</xdr:col>
      <xdr:colOff>6497</xdr:colOff>
      <xdr:row>18</xdr:row>
      <xdr:rowOff>36396</xdr:rowOff>
    </xdr:from>
    <xdr:to>
      <xdr:col>21</xdr:col>
      <xdr:colOff>270609</xdr:colOff>
      <xdr:row>32</xdr:row>
      <xdr:rowOff>78512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A71E221F-B528-67EE-A996-A8B8D86CD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8447" y="3274896"/>
          <a:ext cx="3921712" cy="2709116"/>
        </a:xfrm>
        <a:prstGeom prst="rect">
          <a:avLst/>
        </a:prstGeom>
      </xdr:spPr>
    </xdr:pic>
    <xdr:clientData/>
  </xdr:twoCellAnchor>
  <xdr:twoCellAnchor editAs="oneCell">
    <xdr:from>
      <xdr:col>14</xdr:col>
      <xdr:colOff>608872</xdr:colOff>
      <xdr:row>34</xdr:row>
      <xdr:rowOff>37681</xdr:rowOff>
    </xdr:from>
    <xdr:to>
      <xdr:col>21</xdr:col>
      <xdr:colOff>276225</xdr:colOff>
      <xdr:row>46</xdr:row>
      <xdr:rowOff>48514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2245AF99-9E32-286A-E6F0-679EBCD3A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91222" y="6324181"/>
          <a:ext cx="3934553" cy="2296833"/>
        </a:xfrm>
        <a:prstGeom prst="rect">
          <a:avLst/>
        </a:prstGeom>
      </xdr:spPr>
    </xdr:pic>
    <xdr:clientData/>
  </xdr:twoCellAnchor>
  <xdr:twoCellAnchor editAs="oneCell">
    <xdr:from>
      <xdr:col>14</xdr:col>
      <xdr:colOff>579542</xdr:colOff>
      <xdr:row>48</xdr:row>
      <xdr:rowOff>38100</xdr:rowOff>
    </xdr:from>
    <xdr:to>
      <xdr:col>21</xdr:col>
      <xdr:colOff>94694</xdr:colOff>
      <xdr:row>62</xdr:row>
      <xdr:rowOff>49769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D5D8CAA2-DF28-DE1A-AB86-F2D8A5D41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61892" y="8991600"/>
          <a:ext cx="3782352" cy="2678669"/>
        </a:xfrm>
        <a:prstGeom prst="rect">
          <a:avLst/>
        </a:prstGeom>
      </xdr:spPr>
    </xdr:pic>
    <xdr:clientData/>
  </xdr:twoCellAnchor>
  <xdr:twoCellAnchor editAs="oneCell">
    <xdr:from>
      <xdr:col>15</xdr:col>
      <xdr:colOff>2902</xdr:colOff>
      <xdr:row>62</xdr:row>
      <xdr:rowOff>177821</xdr:rowOff>
    </xdr:from>
    <xdr:to>
      <xdr:col>28</xdr:col>
      <xdr:colOff>578213</xdr:colOff>
      <xdr:row>77</xdr:row>
      <xdr:rowOff>14058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xmlns="" id="{9EE4C291-8221-EFAF-AAC7-8D99BB88F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52272" y="11798321"/>
          <a:ext cx="8543181" cy="2693737"/>
        </a:xfrm>
        <a:prstGeom prst="rect">
          <a:avLst/>
        </a:prstGeom>
      </xdr:spPr>
    </xdr:pic>
    <xdr:clientData/>
  </xdr:twoCellAnchor>
  <xdr:twoCellAnchor editAs="oneCell">
    <xdr:from>
      <xdr:col>21</xdr:col>
      <xdr:colOff>260518</xdr:colOff>
      <xdr:row>4</xdr:row>
      <xdr:rowOff>156380</xdr:rowOff>
    </xdr:from>
    <xdr:to>
      <xdr:col>25</xdr:col>
      <xdr:colOff>287887</xdr:colOff>
      <xdr:row>15</xdr:row>
      <xdr:rowOff>162515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1699E352-22F6-6CF1-B84C-A321C9394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82496" y="868684"/>
          <a:ext cx="2479021" cy="2101635"/>
        </a:xfrm>
        <a:prstGeom prst="rect">
          <a:avLst/>
        </a:prstGeom>
      </xdr:spPr>
    </xdr:pic>
    <xdr:clientData/>
  </xdr:twoCellAnchor>
  <xdr:twoCellAnchor editAs="oneCell">
    <xdr:from>
      <xdr:col>21</xdr:col>
      <xdr:colOff>158108</xdr:colOff>
      <xdr:row>18</xdr:row>
      <xdr:rowOff>190287</xdr:rowOff>
    </xdr:from>
    <xdr:to>
      <xdr:col>25</xdr:col>
      <xdr:colOff>422414</xdr:colOff>
      <xdr:row>32</xdr:row>
      <xdr:rowOff>74544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xmlns="" id="{6A1387D5-BD73-D4E1-00E2-531A7A190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80086" y="3569591"/>
          <a:ext cx="2715958" cy="2551257"/>
        </a:xfrm>
        <a:prstGeom prst="rect">
          <a:avLst/>
        </a:prstGeom>
      </xdr:spPr>
    </xdr:pic>
    <xdr:clientData/>
  </xdr:twoCellAnchor>
  <xdr:twoCellAnchor editAs="oneCell">
    <xdr:from>
      <xdr:col>21</xdr:col>
      <xdr:colOff>179934</xdr:colOff>
      <xdr:row>33</xdr:row>
      <xdr:rowOff>177561</xdr:rowOff>
    </xdr:from>
    <xdr:to>
      <xdr:col>25</xdr:col>
      <xdr:colOff>414131</xdr:colOff>
      <xdr:row>45</xdr:row>
      <xdr:rowOff>155863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xmlns="" id="{B197AC74-ADB4-C56D-D749-D1FB9584D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001912" y="6414365"/>
          <a:ext cx="2685849" cy="2264302"/>
        </a:xfrm>
        <a:prstGeom prst="rect">
          <a:avLst/>
        </a:prstGeom>
      </xdr:spPr>
    </xdr:pic>
    <xdr:clientData/>
  </xdr:twoCellAnchor>
  <xdr:twoCellAnchor editAs="oneCell">
    <xdr:from>
      <xdr:col>21</xdr:col>
      <xdr:colOff>74117</xdr:colOff>
      <xdr:row>47</xdr:row>
      <xdr:rowOff>5316</xdr:rowOff>
    </xdr:from>
    <xdr:to>
      <xdr:col>25</xdr:col>
      <xdr:colOff>449036</xdr:colOff>
      <xdr:row>56</xdr:row>
      <xdr:rowOff>163286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xmlns="" id="{F5763B4D-58A1-A00C-657E-0658E8E7B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92546" y="8917995"/>
          <a:ext cx="2824204" cy="1872470"/>
        </a:xfrm>
        <a:prstGeom prst="rect">
          <a:avLst/>
        </a:prstGeom>
      </xdr:spPr>
    </xdr:pic>
    <xdr:clientData/>
  </xdr:twoCellAnchor>
  <xdr:twoCellAnchor>
    <xdr:from>
      <xdr:col>19</xdr:col>
      <xdr:colOff>139211</xdr:colOff>
      <xdr:row>67</xdr:row>
      <xdr:rowOff>36635</xdr:rowOff>
    </xdr:from>
    <xdr:to>
      <xdr:col>19</xdr:col>
      <xdr:colOff>329711</xdr:colOff>
      <xdr:row>68</xdr:row>
      <xdr:rowOff>131885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xmlns="" id="{2C2EC4A9-FE73-2112-2DC7-5A0AA2504BB3}"/>
            </a:ext>
          </a:extLst>
        </xdr:cNvPr>
        <xdr:cNvSpPr/>
      </xdr:nvSpPr>
      <xdr:spPr>
        <a:xfrm>
          <a:off x="15694269" y="12756173"/>
          <a:ext cx="190500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42349</xdr:colOff>
      <xdr:row>0</xdr:row>
      <xdr:rowOff>0</xdr:rowOff>
    </xdr:from>
    <xdr:to>
      <xdr:col>20</xdr:col>
      <xdr:colOff>523069</xdr:colOff>
      <xdr:row>17</xdr:row>
      <xdr:rowOff>50469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FEC8355C-2548-380B-F2B7-248B11C12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3762" y="0"/>
          <a:ext cx="5160394" cy="3313817"/>
        </a:xfrm>
        <a:prstGeom prst="rect">
          <a:avLst/>
        </a:prstGeom>
      </xdr:spPr>
    </xdr:pic>
    <xdr:clientData/>
  </xdr:twoCellAnchor>
  <xdr:twoCellAnchor>
    <xdr:from>
      <xdr:col>20</xdr:col>
      <xdr:colOff>8282</xdr:colOff>
      <xdr:row>18</xdr:row>
      <xdr:rowOff>77858</xdr:rowOff>
    </xdr:from>
    <xdr:to>
      <xdr:col>32</xdr:col>
      <xdr:colOff>325334</xdr:colOff>
      <xdr:row>31</xdr:row>
      <xdr:rowOff>82405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xmlns="" id="{7B451FB5-48AA-C3FA-59A2-9558693E0D35}"/>
            </a:ext>
          </a:extLst>
        </xdr:cNvPr>
        <xdr:cNvGrpSpPr/>
      </xdr:nvGrpSpPr>
      <xdr:grpSpPr>
        <a:xfrm>
          <a:off x="17249360" y="3549928"/>
          <a:ext cx="7791278" cy="2482703"/>
          <a:chOff x="16697739" y="6314662"/>
          <a:chExt cx="7672008" cy="2481047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xmlns="" id="{1254E724-5508-DDBB-1F46-EDC1F16628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31823"/>
          <a:stretch/>
        </xdr:blipFill>
        <xdr:spPr>
          <a:xfrm>
            <a:off x="16697739" y="6808303"/>
            <a:ext cx="7668695" cy="1987406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xmlns="" id="{E2BAC386-FF0E-41DC-8F1A-333EF4BD1F5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b="82782"/>
          <a:stretch/>
        </xdr:blipFill>
        <xdr:spPr>
          <a:xfrm>
            <a:off x="16701052" y="6314662"/>
            <a:ext cx="7668695" cy="501925"/>
          </a:xfrm>
          <a:prstGeom prst="rect">
            <a:avLst/>
          </a:prstGeom>
        </xdr:spPr>
      </xdr:pic>
    </xdr:grpSp>
    <xdr:clientData/>
  </xdr:twoCellAnchor>
  <xdr:twoCellAnchor>
    <xdr:from>
      <xdr:col>21</xdr:col>
      <xdr:colOff>231913</xdr:colOff>
      <xdr:row>21</xdr:row>
      <xdr:rowOff>0</xdr:rowOff>
    </xdr:from>
    <xdr:to>
      <xdr:col>28</xdr:col>
      <xdr:colOff>513522</xdr:colOff>
      <xdr:row>22</xdr:row>
      <xdr:rowOff>115956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xmlns="" id="{25D86653-ABF4-01BF-0382-9D7E59C55FA1}"/>
            </a:ext>
          </a:extLst>
        </xdr:cNvPr>
        <xdr:cNvSpPr/>
      </xdr:nvSpPr>
      <xdr:spPr>
        <a:xfrm>
          <a:off x="17592261" y="4025348"/>
          <a:ext cx="4572000" cy="3064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1-%20Modelo%20Consumo%20Di&#225;rio%20Energia%20Auxiliar-Rev%2004%20-%20F&#225;bricas%20separada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2-%20Modelo%20Consumo%20Di&#225;rio%20Energia%20Auxiliar-Rev%2004%20-%20F&#225;bricas%20separada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3-%20Modelo%20Consumo%20Di&#225;rio%20Energia%20Auxiliar-Rev%2004%20-%20F&#225;bricas%20separada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4-%20Modelo%20Consumo%20Di&#225;rio%20Energia%20Auxiliar-Rev%2004%20-%20F&#225;bricas%20separada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5-%20Modelo%20Consumo%20Di&#225;rio%20Energia%20Auxiliar-Rev%2004%20-%20F&#225;bricas%20separada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6-%20Modelo%20Consumo%20Di&#225;rio%20Energia%20Auxiliar-Rev%2004%20-%20F&#225;bricas%20separadas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7-%20Modelo%20Consumo%20Di&#225;rio%20Energia%20Auxiliar-Rev%2004%20-%20F&#225;bricas%20separadas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8-%20Modelo%20Consumo%20Di&#225;rio%20Energia%20Auxiliar-Rev%2005%20-%20F&#225;bricas%20separadas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9-%20Modelo%20Consumo%20Di&#225;rio%20Energia%20Auxiliar-Rev%2006%20-%20F&#225;bricas%20separadas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10-%20Modelo%20Consumo%20Di&#225;rio%20Energia%20Auxiliar-Rev%2007%20-%20Fornos%204%20e%207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11-%20Modelo%20Consumo%20Di&#225;rio%20Energia%20Auxiliar-Rev%2008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12-%20Modelo%20Consumo%20Di&#225;rio%20Energia%20Auxiliar-Rev%2008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1-%20Modelo%20Consumo%20Di&#225;rio%20Energia%20Auxiliar-Rev%2008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2-%20Modelo%20Consumo%20Di&#225;rio%20Energia%20Auxiliar-Rev%2008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3-%20Modelo%20Consumo%20Di&#225;rio%20Energia%20Auxiliar-Rev%2009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4-%20Modelo%20Consumo%20Di&#225;rio%20Energia%20Auxiliar-Rev%2009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5-%20Modelo%20Consumo%20Di&#225;rio%20Energia%20Auxiliar-Rev%2009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6-%20Modelo%20Consumo%20Di&#225;rio%20Energia%20Auxiliar-Rev%2009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7-%20Modelo%20Consumo%20Di&#225;rio%20Energia%20Auxiliar-Rev%2009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8-%20Modelo%20Consumo%20Di&#225;rio%20Energia%20Auxiliar-Rev%2009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1/2021-11-%20Modelo%20Consumo%20Di&#225;rio%20Energia%20Auxiliar-Rev%2009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1/2021-12-%20Modelo%20Consumo%20Di&#225;rio%20Energia%20Auxiliar-Rev%2009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1-%20Modelo%20Consumo%20Di&#225;rio%20Energia%20Auxiliar-Rev%2009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2-%20Modelo%20Consumo%20Di&#225;rio%20Energia%20Auxiliar-Rev%2009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3-%20Modelo%20Consumo%20Di&#225;rio%20Energia%20Auxiliar-Rev%2009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4-%20Modelo%20Consumo%20Di&#225;rio%20Energia%20Auxiliar-Rev%2009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5-%20Modelo%20Consumo%20Di&#225;rio%20Energia%20Auxiliar-Rev%2009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6-%20Modelo%20Consumo%20Di&#225;rio%20Energia%20Auxiliar-Rev%2009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7-%20Modelo%20Consumo%20Di&#225;rio%20Energia%20Auxiliar-Rev%2009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8-%20Modelo%20Consumo%20Di&#225;rio%20Energia%20Auxiliar-Rev%2009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9-%20Modelo%20Consumo%20Di&#225;rio%20Energia%20Auxiliar-Rev%2009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10-%20Modelo%20Consumo%20Di&#225;rio%20Energia%20Auxiliar-Rev%2009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11-%20Modelo%20Consumo%20Di&#225;rio%20Energia%20Auxiliar-Rev%2010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12-%20Modelo%20Consumo%20Di&#225;rio%20Energia%20Auxiliar-Rev%2010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1-%20Modelo%20Consumo%20Di&#225;rio%20Energia%20Auxiliar-Rev%2010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2-%20Modelo%20Consumo%20Di&#225;rio%20Energia%20Auxiliar-Rev%2010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3-%20Modelo%20Consumo%20Di&#225;rio%20Energia%20Auxiliar-Rev%2010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4-%20Modelo%20Consumo%20Di&#225;rio%20Energia%20Auxiliar-Rev%2010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5-%20Modelo%20Consumo%20Di&#225;rio%20Energia%20Auxiliar-Rev%2010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6-%20Modelo%20Consumo%20Di&#225;rio%20Energia%20Auxiliar-Rev%201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7-%20Modelo%20Consumo%20Di&#225;rio%20Energia%20Auxiliar-Rev%2010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8-%20Modelo%20Consumo%20Di&#225;rio%20Energia%20Auxiliar-Rev%2010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9-%20Modelo%20Consumo%20Di&#225;rio%20Energia%20Auxiliar-Rev%2010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10-%20Modelo%20Consumo%20Di&#225;rio%20Energia%20Auxiliar-Rev%2010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11-%20Modelo%20Consumo%20Di&#225;rio%20Energia%20Auxiliar-Rev%2010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12-%20Modelo%20Consumo%20Di&#225;rio%20Energia%20Auxiliar-Rev%2010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4/2024-01-%20Modelo%20Consumo%20Di&#225;rio%20Energia%20Auxiliar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4/2024-02-%20Modelo%20Consumo%20Di&#225;rio%20Energia%20Auxiliar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4/2024-03-%20Modelo%20Consumo%20Di&#225;rio%20Energia%20Auxiliar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4/2024-04-%20Modelo%20Consumo%20Di&#225;rio%20Energia%20Auxiliar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4/2024-05-%20Modelo%20Consumo%20Di&#225;rio%20Energia%20Auxiliar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4/2024-06-%20Modelo%20Consumo%20Di&#225;rio%20Energia%20Auxili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128045.29799999998</v>
          </cell>
          <cell r="D42">
            <v>1038.452</v>
          </cell>
          <cell r="DS42">
            <v>138945.55600000004</v>
          </cell>
          <cell r="DT42">
            <v>1541.3119999999999</v>
          </cell>
          <cell r="DX42">
            <v>6649.0374366639408</v>
          </cell>
          <cell r="DY42">
            <v>163.88884666666667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117316.54099999998</v>
          </cell>
          <cell r="D42">
            <v>1002.2690000000001</v>
          </cell>
          <cell r="DS42">
            <v>127456.658</v>
          </cell>
          <cell r="DT42">
            <v>1454.2159999999999</v>
          </cell>
          <cell r="DX42">
            <v>5975.6210633333312</v>
          </cell>
          <cell r="DY42">
            <v>211.75563333333335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130503.71</v>
          </cell>
          <cell r="D42">
            <v>955.99000000000012</v>
          </cell>
          <cell r="DS42">
            <v>142016.05700000003</v>
          </cell>
          <cell r="DT42">
            <v>1429.5930000000001</v>
          </cell>
          <cell r="DX42">
            <v>6735.3500514285697</v>
          </cell>
          <cell r="DY42">
            <v>269.45560000000006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126449.82799999999</v>
          </cell>
          <cell r="D42">
            <v>1016.962</v>
          </cell>
          <cell r="DS42">
            <v>137949.52100000004</v>
          </cell>
          <cell r="DT42">
            <v>1536.5969999999998</v>
          </cell>
          <cell r="DX42">
            <v>6441.9155949353844</v>
          </cell>
          <cell r="DY42">
            <v>265.04825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128349.50500000002</v>
          </cell>
          <cell r="D42">
            <v>1006.995</v>
          </cell>
          <cell r="DS42">
            <v>139254.41600000003</v>
          </cell>
          <cell r="DT42">
            <v>1497.797</v>
          </cell>
          <cell r="DX42">
            <v>5845.8614672727263</v>
          </cell>
          <cell r="DY42">
            <v>249.47073636363635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102197.69099999998</v>
          </cell>
          <cell r="D42">
            <v>902.18899999999996</v>
          </cell>
          <cell r="DS42">
            <v>112515.73499999999</v>
          </cell>
          <cell r="DT42">
            <v>1381.7209999999998</v>
          </cell>
          <cell r="DX42">
            <v>6155.3413363636337</v>
          </cell>
          <cell r="DY42">
            <v>241.31429090909091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91509.01999999999</v>
          </cell>
          <cell r="D42">
            <v>1139.96</v>
          </cell>
          <cell r="DS42">
            <v>101251.01700000001</v>
          </cell>
          <cell r="DT42">
            <v>1716.47</v>
          </cell>
          <cell r="DX42">
            <v>5707.7444272727271</v>
          </cell>
          <cell r="DY42">
            <v>281.91483636363631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91402.032000000007</v>
          </cell>
          <cell r="D42">
            <v>1125.498</v>
          </cell>
          <cell r="DS42">
            <v>100996.45800000001</v>
          </cell>
          <cell r="DT42">
            <v>1656.41</v>
          </cell>
          <cell r="DX42">
            <v>5616.7725999999993</v>
          </cell>
          <cell r="DY42">
            <v>267.54639999999995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88616.603999999992</v>
          </cell>
          <cell r="D42">
            <v>1006.6459999999998</v>
          </cell>
          <cell r="DS42">
            <v>97945.887999999977</v>
          </cell>
          <cell r="DT42">
            <v>1505.4270000000001</v>
          </cell>
          <cell r="DX42">
            <v>5364.5346000000009</v>
          </cell>
          <cell r="DY42">
            <v>238.19080000000002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92023.941999999995</v>
          </cell>
          <cell r="D42">
            <v>1226.1680000000001</v>
          </cell>
          <cell r="DO42">
            <v>100968.36699999998</v>
          </cell>
          <cell r="DP42">
            <v>1713.3510000000001</v>
          </cell>
          <cell r="DT42">
            <v>5718.3920999999991</v>
          </cell>
          <cell r="DU42">
            <v>287.73399999999998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94358.725000000006</v>
          </cell>
          <cell r="D42">
            <v>1006.117</v>
          </cell>
          <cell r="DO42">
            <v>103452.049</v>
          </cell>
          <cell r="DP42">
            <v>1454.096</v>
          </cell>
          <cell r="DT42">
            <v>5397.6219999999985</v>
          </cell>
          <cell r="DU42">
            <v>243.5204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125856.379</v>
          </cell>
          <cell r="D42">
            <v>948.05000000000007</v>
          </cell>
          <cell r="DO42">
            <v>137404.31500000003</v>
          </cell>
          <cell r="DP42">
            <v>1550.2439999999997</v>
          </cell>
          <cell r="DT42">
            <v>6743.4746999999998</v>
          </cell>
          <cell r="DU42">
            <v>295.42460000000005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126534.02600000001</v>
          </cell>
          <cell r="D42">
            <v>1003.6680000000003</v>
          </cell>
          <cell r="DO42">
            <v>138415.39599999998</v>
          </cell>
          <cell r="DP42">
            <v>1592.085</v>
          </cell>
          <cell r="DT42">
            <v>6989.1944000000003</v>
          </cell>
          <cell r="DU42">
            <v>293.54559999999998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124104.38399999999</v>
          </cell>
          <cell r="D42">
            <v>891.38</v>
          </cell>
          <cell r="DN42">
            <v>135270.22600000002</v>
          </cell>
          <cell r="DO42">
            <v>1400.69</v>
          </cell>
          <cell r="DS42">
            <v>6540.3073999999979</v>
          </cell>
          <cell r="DT42">
            <v>261.8614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129409.28700000001</v>
          </cell>
          <cell r="D42">
            <v>1008.7499999999999</v>
          </cell>
          <cell r="ED42">
            <v>141149.11899999998</v>
          </cell>
          <cell r="EE42">
            <v>1618.377</v>
          </cell>
          <cell r="EI42">
            <v>6895.1214429616721</v>
          </cell>
          <cell r="EJ42">
            <v>306.28345741225763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ED42">
            <v>143598.86800000002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137360.64299999998</v>
          </cell>
          <cell r="D42">
            <v>950.99399999999991</v>
          </cell>
          <cell r="ED42">
            <v>149114.30800000005</v>
          </cell>
          <cell r="EE42">
            <v>1502.9470000000001</v>
          </cell>
          <cell r="EI42">
            <v>6856.1425784766252</v>
          </cell>
          <cell r="EJ42">
            <v>290.46926552191275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132342.079</v>
          </cell>
          <cell r="D42">
            <v>961.61500000000012</v>
          </cell>
          <cell r="ED42">
            <v>143803.76400000002</v>
          </cell>
          <cell r="EE42">
            <v>1568.221</v>
          </cell>
          <cell r="EI42">
            <v>6473.553217097824</v>
          </cell>
          <cell r="EJ42">
            <v>297.53503586863343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136582.7274</v>
          </cell>
          <cell r="D42">
            <v>1046.4178999999999</v>
          </cell>
          <cell r="ED42">
            <v>148256.39799999999</v>
          </cell>
          <cell r="EE42">
            <v>1712.3820000000001</v>
          </cell>
          <cell r="EI42">
            <v>6750.2004259259211</v>
          </cell>
          <cell r="EJ42">
            <v>350.8609294186528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139258.68</v>
          </cell>
          <cell r="D42">
            <v>1017.0250000000001</v>
          </cell>
          <cell r="ED42">
            <v>151242.74099999998</v>
          </cell>
          <cell r="EE42">
            <v>1583.3529999999998</v>
          </cell>
          <cell r="EI42">
            <v>7040.4301035900999</v>
          </cell>
          <cell r="EJ42">
            <v>281.94409793351139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>
        <row r="42">
          <cell r="C42">
            <v>136942.60150000002</v>
          </cell>
          <cell r="D42">
            <v>864.08480000000009</v>
          </cell>
          <cell r="ED42">
            <v>148701.152</v>
          </cell>
          <cell r="EE42">
            <v>1433.2640000000001</v>
          </cell>
          <cell r="EI42">
            <v>6599.6262642611318</v>
          </cell>
          <cell r="EJ42">
            <v>292.5249840736563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140433.2182</v>
          </cell>
          <cell r="D42">
            <v>1027.0577000000001</v>
          </cell>
          <cell r="ED42">
            <v>152729.18700000001</v>
          </cell>
          <cell r="EE42">
            <v>1674.2629999999999</v>
          </cell>
          <cell r="EI42">
            <v>7027.6148422087626</v>
          </cell>
          <cell r="EJ42">
            <v>352.98321222437534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137269.27850000001</v>
          </cell>
          <cell r="D42">
            <v>933.58320000000003</v>
          </cell>
          <cell r="ED42">
            <v>149672.59700000001</v>
          </cell>
          <cell r="EE42">
            <v>1565.2279999999998</v>
          </cell>
          <cell r="EI42">
            <v>7160.4829729872181</v>
          </cell>
          <cell r="EJ42">
            <v>344.0924795147215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127696.4636</v>
          </cell>
          <cell r="D42">
            <v>847.31359999999984</v>
          </cell>
          <cell r="ED42">
            <v>138707.62100000001</v>
          </cell>
          <cell r="EE42">
            <v>1493.539</v>
          </cell>
          <cell r="EI42">
            <v>6280.5941078158958</v>
          </cell>
          <cell r="EJ42">
            <v>365.58286928221429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138476.42520000003</v>
          </cell>
          <cell r="D42">
            <v>984.51330000000007</v>
          </cell>
          <cell r="ED42">
            <v>150811.49100000004</v>
          </cell>
          <cell r="EE42">
            <v>1677.0060000000001</v>
          </cell>
          <cell r="EI42">
            <v>7054.6794388388853</v>
          </cell>
          <cell r="EJ42">
            <v>379.72671435254819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133770.37120000002</v>
          </cell>
          <cell r="D42">
            <v>805.93259999999998</v>
          </cell>
          <cell r="ED42">
            <v>145857.67799999996</v>
          </cell>
          <cell r="EE42">
            <v>1412.3700000000006</v>
          </cell>
          <cell r="EI42">
            <v>7048.220815111732</v>
          </cell>
          <cell r="EJ42">
            <v>348.32894023558026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131161.69519999999</v>
          </cell>
          <cell r="D42">
            <v>883.34229999999991</v>
          </cell>
          <cell r="ED42">
            <v>142902.81700000001</v>
          </cell>
          <cell r="EE42">
            <v>1482.788</v>
          </cell>
          <cell r="EI42">
            <v>6795.3187935727956</v>
          </cell>
          <cell r="EJ42">
            <v>342.34815582975114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133737.76</v>
          </cell>
          <cell r="D42">
            <v>929.9088999999999</v>
          </cell>
          <cell r="ED42">
            <v>146202.40300000002</v>
          </cell>
          <cell r="EE42">
            <v>1561.9639999999999</v>
          </cell>
          <cell r="EI42">
            <v>6799.4280994148958</v>
          </cell>
          <cell r="EJ42">
            <v>351.04817252323062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140204.50979999997</v>
          </cell>
          <cell r="D42">
            <v>875.69430000000011</v>
          </cell>
          <cell r="ED42">
            <v>153045.86600000004</v>
          </cell>
          <cell r="EE42">
            <v>1530.3200000000002</v>
          </cell>
          <cell r="EI42">
            <v>6877.8074542712902</v>
          </cell>
          <cell r="EJ42">
            <v>340.4347023423997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128876.89810000002</v>
          </cell>
          <cell r="D42">
            <v>1004.6584</v>
          </cell>
          <cell r="ED42">
            <v>141480.11999999994</v>
          </cell>
          <cell r="EE42">
            <v>1706.146</v>
          </cell>
          <cell r="EI42">
            <v>6479.9283083792907</v>
          </cell>
          <cell r="EJ42">
            <v>364.24621035757315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129832.6805</v>
          </cell>
          <cell r="D42">
            <v>987.64759999999978</v>
          </cell>
          <cell r="ED42">
            <v>141447.70800000001</v>
          </cell>
          <cell r="EE42">
            <v>1617.43</v>
          </cell>
          <cell r="EI42">
            <v>6162.3594055367003</v>
          </cell>
          <cell r="EJ42">
            <v>368.48866748953338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140033.51379999999</v>
          </cell>
          <cell r="D42">
            <v>912.82920000000001</v>
          </cell>
          <cell r="ED42">
            <v>152588.75499999998</v>
          </cell>
          <cell r="EE42">
            <v>1527.6449999999998</v>
          </cell>
          <cell r="EI42">
            <v>6868.3652200743527</v>
          </cell>
          <cell r="EJ42">
            <v>331.77249057236628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>
        <row r="42">
          <cell r="C42">
            <v>133432.2899</v>
          </cell>
          <cell r="D42">
            <v>915.75119999999993</v>
          </cell>
          <cell r="EP42">
            <v>145504.74900000001</v>
          </cell>
          <cell r="EQ42">
            <v>1501.0550000000001</v>
          </cell>
          <cell r="EU42">
            <v>6766.2186733150866</v>
          </cell>
          <cell r="EV42">
            <v>315.22756444225286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136878.71279999998</v>
          </cell>
          <cell r="D42">
            <v>986.65779999999995</v>
          </cell>
          <cell r="EP42">
            <v>149290.81200000001</v>
          </cell>
          <cell r="EQ42">
            <v>1639.568</v>
          </cell>
          <cell r="EU42">
            <v>6977.8303718966081</v>
          </cell>
          <cell r="EV42">
            <v>359.63589426129283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131386.7831</v>
          </cell>
          <cell r="D42">
            <v>977.75680000000011</v>
          </cell>
          <cell r="EP42">
            <v>143687.52999999997</v>
          </cell>
          <cell r="EQ42">
            <v>1649.8619999999999</v>
          </cell>
          <cell r="EU42">
            <v>6888.6673469205725</v>
          </cell>
          <cell r="EV42">
            <v>374.03562695565228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118667.73999999999</v>
          </cell>
          <cell r="D42">
            <v>822.55349999999999</v>
          </cell>
          <cell r="EP42">
            <v>129931.85159999999</v>
          </cell>
          <cell r="EQ42">
            <v>1406.2950000000001</v>
          </cell>
          <cell r="EU42">
            <v>6514.3789231126157</v>
          </cell>
          <cell r="EV42">
            <v>329.60815857651068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118620.54818998552</v>
          </cell>
          <cell r="D42">
            <v>1037.6030295056157</v>
          </cell>
          <cell r="EP42">
            <v>130158.90299999999</v>
          </cell>
          <cell r="EQ42">
            <v>1728.7299999999998</v>
          </cell>
          <cell r="EU42">
            <v>7115.9143446176304</v>
          </cell>
          <cell r="EV42">
            <v>401.82774901489228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127990.8616</v>
          </cell>
          <cell r="D42">
            <v>774.75660000000005</v>
          </cell>
          <cell r="EP42">
            <v>140515.59499999997</v>
          </cell>
          <cell r="EQ42">
            <v>1315.153</v>
          </cell>
          <cell r="EU42">
            <v>6906.4151898345117</v>
          </cell>
          <cell r="EV42">
            <v>300.96691418560397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134270.04179999998</v>
          </cell>
          <cell r="D42">
            <v>1001.9914</v>
          </cell>
          <cell r="EP42">
            <v>147811.72200000001</v>
          </cell>
          <cell r="EQ42">
            <v>1638.7689999999998</v>
          </cell>
          <cell r="EU42">
            <v>7229.2995283324472</v>
          </cell>
          <cell r="EV42">
            <v>347.3907337628649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127479.28509999999</v>
          </cell>
          <cell r="D42">
            <v>905.2118999999999</v>
          </cell>
          <cell r="EP42">
            <v>140382.32100000003</v>
          </cell>
          <cell r="EQ42">
            <v>1533.5149999999996</v>
          </cell>
          <cell r="EU42">
            <v>7055.3418731007887</v>
          </cell>
          <cell r="EV42">
            <v>350.2329248746467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131535.21889999998</v>
          </cell>
          <cell r="D42">
            <v>925.62560000000008</v>
          </cell>
          <cell r="EP42">
            <v>144836.73200000002</v>
          </cell>
          <cell r="EQ42">
            <v>1500.7660000000003</v>
          </cell>
          <cell r="EU42">
            <v>6918.497079316573</v>
          </cell>
          <cell r="EV42">
            <v>302.54365377891389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123349.2494</v>
          </cell>
          <cell r="D42">
            <v>12838.795100000001</v>
          </cell>
          <cell r="EP42">
            <v>136360.47</v>
          </cell>
          <cell r="EQ42">
            <v>14219.764999999999</v>
          </cell>
          <cell r="EU42">
            <v>6623.1917013407847</v>
          </cell>
          <cell r="EV42">
            <v>700.9355116761111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119003.61299999998</v>
          </cell>
          <cell r="D42">
            <v>10928.9432</v>
          </cell>
          <cell r="EP42">
            <v>131630.97500000001</v>
          </cell>
          <cell r="EQ42">
            <v>12104.186999999998</v>
          </cell>
          <cell r="EU42">
            <v>6717.4429015100786</v>
          </cell>
          <cell r="EV42">
            <v>636.23902194945708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129880.48930000002</v>
          </cell>
          <cell r="D42">
            <v>11927.911800000002</v>
          </cell>
          <cell r="EP42">
            <v>142175.77800000002</v>
          </cell>
          <cell r="EQ42">
            <v>13079.933000000001</v>
          </cell>
          <cell r="EU42">
            <v>6354.1070368351284</v>
          </cell>
          <cell r="EV42">
            <v>453.55977174809539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113205.37360000002</v>
          </cell>
          <cell r="D42">
            <v>9885.3034999999982</v>
          </cell>
          <cell r="EP42">
            <v>124020.253</v>
          </cell>
          <cell r="EQ42">
            <v>10874.656000000003</v>
          </cell>
          <cell r="EU42">
            <v>6064.5079732485392</v>
          </cell>
          <cell r="EV42">
            <v>517.85626019931658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127562.61660000002</v>
          </cell>
          <cell r="D42">
            <v>10977.8292</v>
          </cell>
          <cell r="EP42">
            <v>139218.55100000001</v>
          </cell>
          <cell r="EQ42">
            <v>12001.228000000001</v>
          </cell>
          <cell r="EU42">
            <v>6975.9234478469325</v>
          </cell>
          <cell r="EV42">
            <v>613.51809459672756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Diário"/>
      <sheetName val="Importação ACA"/>
      <sheetName val="Importação Requisição"/>
      <sheetName val="ExportarREQDEV"/>
      <sheetName val="Custo da Energia"/>
      <sheetName val="Conceitos_2024"/>
      <sheetName val="Datasul"/>
      <sheetName val="Relação das Medições"/>
    </sheetNames>
    <sheetDataSet>
      <sheetData sheetId="0">
        <row r="39">
          <cell r="C39">
            <v>140815.81449999998</v>
          </cell>
          <cell r="AY39">
            <v>153680.005</v>
          </cell>
          <cell r="BA39">
            <v>7645.5790999999999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Diário"/>
      <sheetName val="Importação ACA"/>
      <sheetName val="Importação Requisição"/>
      <sheetName val="ExportarREQDEV"/>
      <sheetName val="Custo da Energia"/>
      <sheetName val="Conceitos_2024"/>
      <sheetName val="Datasul"/>
      <sheetName val="Relação das Medições"/>
    </sheetNames>
    <sheetDataSet>
      <sheetData sheetId="0">
        <row r="39">
          <cell r="C39">
            <v>130989.87639999999</v>
          </cell>
          <cell r="AY39">
            <v>142919.14799999999</v>
          </cell>
          <cell r="BA39">
            <v>7047.6051000000007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Diário"/>
      <sheetName val="Importação ACA"/>
      <sheetName val="Importação Requisição"/>
      <sheetName val="ExportarREQDEV"/>
      <sheetName val="Custo da Energia"/>
      <sheetName val="Conceitos_2024"/>
      <sheetName val="Datasul"/>
      <sheetName val="Relação das Medições"/>
    </sheetNames>
    <sheetDataSet>
      <sheetData sheetId="0">
        <row r="39">
          <cell r="C39">
            <v>141733.31640000001</v>
          </cell>
          <cell r="AY39">
            <v>154646.46699999998</v>
          </cell>
          <cell r="BA39">
            <v>7486.5037000000002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Diário"/>
      <sheetName val="Importação ACA"/>
      <sheetName val="Importação Requisição"/>
      <sheetName val="ExportarREQDEV"/>
      <sheetName val="Custo da Energia"/>
      <sheetName val="Conceitos_2024"/>
      <sheetName val="Datasul"/>
      <sheetName val="Relação das Medições"/>
    </sheetNames>
    <sheetDataSet>
      <sheetData sheetId="0">
        <row r="39">
          <cell r="C39">
            <v>131029.27869999997</v>
          </cell>
          <cell r="AY39">
            <v>142821.89699999997</v>
          </cell>
          <cell r="BA39">
            <v>6909.4216999999981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Diário"/>
      <sheetName val="Importação ACA"/>
      <sheetName val="Importação Requisição"/>
      <sheetName val="ExportarREQDEV"/>
      <sheetName val="Custo da Energia"/>
      <sheetName val="Conceitos_2024"/>
      <sheetName val="Datasul"/>
      <sheetName val="Relação das Medições"/>
    </sheetNames>
    <sheetDataSet>
      <sheetData sheetId="0">
        <row r="39">
          <cell r="C39">
            <v>135422.95509999999</v>
          </cell>
          <cell r="AY39">
            <v>147108.51100000003</v>
          </cell>
          <cell r="BA39">
            <v>6751.1937000000007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Diário"/>
      <sheetName val="Importação ACA"/>
      <sheetName val="Importação Requisição"/>
      <sheetName val="ExportarREQDEV"/>
      <sheetName val="Custo da Energia"/>
      <sheetName val="Conceitos_2024"/>
      <sheetName val="Datasul"/>
      <sheetName val="Relação das Medições"/>
    </sheetNames>
    <sheetDataSet>
      <sheetData sheetId="0">
        <row r="39">
          <cell r="C39">
            <v>137757.95199999999</v>
          </cell>
          <cell r="AY39">
            <v>150296.20799999998</v>
          </cell>
          <cell r="BA39">
            <v>6729.9299099999989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iclef Humberto Vieira Martins" id="{5379EF8C-8E5D-4A0B-A268-7686158F0968}" userId="S::wiclefmartins@ferbasa.onmicrosoft.com::b8ece8db-812f-43b9-a060-2f720b1fc815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4-03-28T18:31:00.25" personId="{5379EF8C-8E5D-4A0B-A268-7686158F0968}" id="{8ED26EB8-C8AA-4261-9F60-7E9567E95D5E}">
    <text>Perdas Estimadas ML - 3%</text>
  </threadedComment>
  <threadedComment ref="C9" dT="2024-03-28T18:31:00.25" personId="{5379EF8C-8E5D-4A0B-A268-7686158F0968}" id="{37F832BF-590B-4D43-BFA5-45E3485FC924}">
    <text>Perdas Estimadas ML - 3%</text>
  </threadedComment>
  <threadedComment ref="C16" dT="2024-03-28T18:31:00.25" personId="{5379EF8C-8E5D-4A0B-A268-7686158F0968}" id="{1D7F9540-3B19-4724-9093-7590614BC5AA}">
    <text>Perdas Estimadas ML - 3%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5"/>
  <sheetViews>
    <sheetView tabSelected="1" workbookViewId="0">
      <selection activeCell="B77" sqref="B77"/>
    </sheetView>
  </sheetViews>
  <sheetFormatPr defaultRowHeight="14.4" outlineLevelRow="1" x14ac:dyDescent="0.3"/>
  <cols>
    <col min="1" max="1" width="36.5546875" bestFit="1" customWidth="1"/>
    <col min="2" max="2" width="13.6640625" bestFit="1" customWidth="1"/>
    <col min="3" max="3" width="12.44140625" bestFit="1" customWidth="1"/>
    <col min="4" max="13" width="13.109375" bestFit="1" customWidth="1"/>
    <col min="15" max="15" width="9.5546875" bestFit="1" customWidth="1"/>
    <col min="16" max="27" width="11.5546875" bestFit="1" customWidth="1"/>
  </cols>
  <sheetData>
    <row r="1" spans="1:16" x14ac:dyDescent="0.3">
      <c r="A1" s="2" t="s">
        <v>16</v>
      </c>
      <c r="B1" s="75">
        <v>45658</v>
      </c>
      <c r="C1" s="75">
        <v>45689</v>
      </c>
      <c r="D1" s="75">
        <v>45717</v>
      </c>
      <c r="E1" s="75">
        <v>45748</v>
      </c>
      <c r="F1" s="75">
        <v>45778</v>
      </c>
      <c r="G1" s="75">
        <v>45809</v>
      </c>
      <c r="H1" s="75">
        <v>45839</v>
      </c>
      <c r="I1" s="75">
        <v>45870</v>
      </c>
      <c r="J1" s="75">
        <v>45901</v>
      </c>
      <c r="K1" s="75">
        <v>45931</v>
      </c>
      <c r="L1" s="75">
        <v>45962</v>
      </c>
      <c r="M1" s="75">
        <v>45992</v>
      </c>
      <c r="N1" s="3"/>
      <c r="O1" s="3"/>
      <c r="P1" s="3"/>
    </row>
    <row r="2" spans="1:16" ht="15" x14ac:dyDescent="0.25">
      <c r="A2" s="2" t="s">
        <v>15</v>
      </c>
      <c r="B2" s="2">
        <v>744</v>
      </c>
      <c r="C2" s="2">
        <f>28*24</f>
        <v>672</v>
      </c>
      <c r="D2" s="2">
        <v>744</v>
      </c>
      <c r="E2" s="2">
        <v>720</v>
      </c>
      <c r="F2" s="2">
        <v>744</v>
      </c>
      <c r="G2" s="2">
        <v>720</v>
      </c>
      <c r="H2" s="2">
        <v>744</v>
      </c>
      <c r="I2" s="2">
        <v>744</v>
      </c>
      <c r="J2" s="2">
        <v>720</v>
      </c>
      <c r="K2" s="2">
        <v>744</v>
      </c>
      <c r="L2" s="2">
        <v>720</v>
      </c>
      <c r="M2" s="2">
        <v>744</v>
      </c>
    </row>
    <row r="3" spans="1:16" ht="8.4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6" ht="15" x14ac:dyDescent="0.25">
      <c r="A4" s="2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6" ht="8.4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6" x14ac:dyDescent="0.3">
      <c r="A6" s="2" t="s">
        <v>14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6" x14ac:dyDescent="0.3">
      <c r="A7" s="2" t="s">
        <v>2</v>
      </c>
      <c r="B7" s="4">
        <v>55</v>
      </c>
      <c r="C7" s="4">
        <v>55</v>
      </c>
      <c r="D7" s="4">
        <v>55</v>
      </c>
      <c r="E7" s="4">
        <v>55</v>
      </c>
      <c r="F7" s="4">
        <v>55</v>
      </c>
      <c r="G7" s="4">
        <v>55</v>
      </c>
      <c r="H7" s="4">
        <v>55</v>
      </c>
      <c r="I7" s="4">
        <v>55</v>
      </c>
      <c r="J7" s="4">
        <v>55</v>
      </c>
      <c r="K7" s="4">
        <v>55</v>
      </c>
      <c r="L7" s="4">
        <v>55</v>
      </c>
      <c r="M7" s="4">
        <v>55</v>
      </c>
    </row>
    <row r="8" spans="1:16" ht="15" x14ac:dyDescent="0.25">
      <c r="A8" s="2" t="s">
        <v>1</v>
      </c>
      <c r="B8" s="4">
        <v>80</v>
      </c>
      <c r="C8" s="4">
        <v>80</v>
      </c>
      <c r="D8" s="4">
        <v>80</v>
      </c>
      <c r="E8" s="4">
        <v>80</v>
      </c>
      <c r="F8" s="4">
        <v>80</v>
      </c>
      <c r="G8" s="4">
        <v>80</v>
      </c>
      <c r="H8" s="4">
        <v>80</v>
      </c>
      <c r="I8" s="4">
        <v>80</v>
      </c>
      <c r="J8" s="4">
        <v>80</v>
      </c>
      <c r="K8" s="4">
        <v>80</v>
      </c>
      <c r="L8" s="4">
        <v>80</v>
      </c>
      <c r="M8" s="4">
        <v>80</v>
      </c>
    </row>
    <row r="9" spans="1:16" ht="15" x14ac:dyDescent="0.25">
      <c r="A9" s="2" t="s">
        <v>3</v>
      </c>
      <c r="B9" s="4">
        <v>25</v>
      </c>
      <c r="C9" s="4">
        <v>25</v>
      </c>
      <c r="D9" s="4">
        <v>25</v>
      </c>
      <c r="E9" s="4">
        <v>25</v>
      </c>
      <c r="F9" s="4">
        <v>25</v>
      </c>
      <c r="G9" s="4">
        <v>25</v>
      </c>
      <c r="H9" s="4">
        <v>25</v>
      </c>
      <c r="I9" s="4">
        <v>25</v>
      </c>
      <c r="J9" s="4">
        <v>25</v>
      </c>
      <c r="K9" s="4">
        <v>25</v>
      </c>
      <c r="L9" s="4">
        <v>25</v>
      </c>
      <c r="M9" s="4">
        <v>25</v>
      </c>
    </row>
    <row r="10" spans="1:16" ht="15" x14ac:dyDescent="0.25">
      <c r="A10" s="2" t="s">
        <v>82</v>
      </c>
      <c r="B10" s="4">
        <v>35</v>
      </c>
      <c r="C10" s="4">
        <v>35</v>
      </c>
      <c r="D10" s="4">
        <v>35</v>
      </c>
      <c r="E10" s="4">
        <v>35</v>
      </c>
      <c r="F10" s="4">
        <v>35</v>
      </c>
      <c r="G10" s="4">
        <v>35</v>
      </c>
      <c r="H10" s="4">
        <v>35</v>
      </c>
      <c r="I10" s="4">
        <v>35</v>
      </c>
      <c r="J10" s="4">
        <v>35</v>
      </c>
      <c r="K10" s="4">
        <v>35</v>
      </c>
      <c r="L10" s="4">
        <v>35</v>
      </c>
      <c r="M10" s="4">
        <v>35</v>
      </c>
    </row>
    <row r="11" spans="1:16" ht="15" x14ac:dyDescent="0.25">
      <c r="A11" s="2" t="s">
        <v>4</v>
      </c>
      <c r="B11" s="98">
        <v>3.9186999999999999</v>
      </c>
      <c r="C11" s="98">
        <v>3.9186999999999999</v>
      </c>
      <c r="D11" s="98">
        <v>3.9186999999999999</v>
      </c>
      <c r="E11" s="98">
        <v>3.9186999999999999</v>
      </c>
      <c r="F11" s="98">
        <v>3.9186999999999999</v>
      </c>
      <c r="G11" s="98">
        <v>3.9186999999999999</v>
      </c>
      <c r="H11" s="98">
        <v>3.9186999999999999</v>
      </c>
      <c r="I11" s="98">
        <v>3.9186999999999999</v>
      </c>
      <c r="J11" s="98">
        <v>3.9186999999999999</v>
      </c>
      <c r="K11" s="98">
        <v>3.9186999999999999</v>
      </c>
      <c r="L11" s="98">
        <v>3.9186999999999999</v>
      </c>
      <c r="M11" s="98">
        <v>3.9186999999999999</v>
      </c>
    </row>
    <row r="12" spans="1:16" ht="7.95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6" ht="15" x14ac:dyDescent="0.25">
      <c r="A13" s="2" t="s">
        <v>17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6" ht="15" x14ac:dyDescent="0.25">
      <c r="A14" s="2" t="s">
        <v>2</v>
      </c>
      <c r="B14" s="5">
        <f>B2*B7</f>
        <v>40920</v>
      </c>
      <c r="C14" s="5">
        <f t="shared" ref="C14:M14" si="0">C2*C7</f>
        <v>36960</v>
      </c>
      <c r="D14" s="5">
        <f t="shared" si="0"/>
        <v>40920</v>
      </c>
      <c r="E14" s="5">
        <f t="shared" si="0"/>
        <v>39600</v>
      </c>
      <c r="F14" s="5">
        <f t="shared" si="0"/>
        <v>40920</v>
      </c>
      <c r="G14" s="5">
        <f t="shared" si="0"/>
        <v>39600</v>
      </c>
      <c r="H14" s="5">
        <f t="shared" si="0"/>
        <v>40920</v>
      </c>
      <c r="I14" s="5">
        <f t="shared" si="0"/>
        <v>40920</v>
      </c>
      <c r="J14" s="5">
        <f t="shared" si="0"/>
        <v>39600</v>
      </c>
      <c r="K14" s="5">
        <f t="shared" si="0"/>
        <v>40920</v>
      </c>
      <c r="L14" s="5">
        <f t="shared" si="0"/>
        <v>39600</v>
      </c>
      <c r="M14" s="5">
        <f t="shared" si="0"/>
        <v>40920</v>
      </c>
    </row>
    <row r="15" spans="1:16" ht="15" x14ac:dyDescent="0.25">
      <c r="A15" s="2" t="s">
        <v>1</v>
      </c>
      <c r="B15" s="5">
        <f>B8*B2</f>
        <v>59520</v>
      </c>
      <c r="C15" s="5">
        <f t="shared" ref="C15:M15" si="1">C8*C2</f>
        <v>53760</v>
      </c>
      <c r="D15" s="5">
        <f t="shared" si="1"/>
        <v>59520</v>
      </c>
      <c r="E15" s="5">
        <f t="shared" si="1"/>
        <v>57600</v>
      </c>
      <c r="F15" s="5">
        <f t="shared" si="1"/>
        <v>59520</v>
      </c>
      <c r="G15" s="5">
        <f t="shared" si="1"/>
        <v>57600</v>
      </c>
      <c r="H15" s="5">
        <f t="shared" si="1"/>
        <v>59520</v>
      </c>
      <c r="I15" s="5">
        <f t="shared" si="1"/>
        <v>59520</v>
      </c>
      <c r="J15" s="5">
        <f t="shared" si="1"/>
        <v>57600</v>
      </c>
      <c r="K15" s="5">
        <f t="shared" si="1"/>
        <v>59520</v>
      </c>
      <c r="L15" s="5">
        <f t="shared" si="1"/>
        <v>57600</v>
      </c>
      <c r="M15" s="5">
        <f t="shared" si="1"/>
        <v>59520</v>
      </c>
    </row>
    <row r="16" spans="1:16" ht="15" x14ac:dyDescent="0.25">
      <c r="A16" s="2" t="s">
        <v>3</v>
      </c>
      <c r="B16" s="5">
        <f>B2*B9</f>
        <v>18600</v>
      </c>
      <c r="C16" s="5">
        <f t="shared" ref="C16:M16" si="2">C2*C9</f>
        <v>16800</v>
      </c>
      <c r="D16" s="5">
        <f t="shared" si="2"/>
        <v>18600</v>
      </c>
      <c r="E16" s="5">
        <f t="shared" si="2"/>
        <v>18000</v>
      </c>
      <c r="F16" s="5">
        <f t="shared" si="2"/>
        <v>18600</v>
      </c>
      <c r="G16" s="5">
        <f t="shared" si="2"/>
        <v>18000</v>
      </c>
      <c r="H16" s="5">
        <f t="shared" si="2"/>
        <v>18600</v>
      </c>
      <c r="I16" s="5">
        <f t="shared" si="2"/>
        <v>18600</v>
      </c>
      <c r="J16" s="5">
        <f t="shared" si="2"/>
        <v>18000</v>
      </c>
      <c r="K16" s="5">
        <f t="shared" si="2"/>
        <v>18600</v>
      </c>
      <c r="L16" s="5">
        <f t="shared" si="2"/>
        <v>18000</v>
      </c>
      <c r="M16" s="5">
        <f t="shared" si="2"/>
        <v>18600</v>
      </c>
    </row>
    <row r="17" spans="1:27" ht="15" x14ac:dyDescent="0.25">
      <c r="A17" s="2" t="s">
        <v>82</v>
      </c>
      <c r="B17" s="5">
        <f>B2*B10</f>
        <v>26040</v>
      </c>
      <c r="C17" s="5">
        <f t="shared" ref="C17:M17" si="3">C2*C10</f>
        <v>23520</v>
      </c>
      <c r="D17" s="5">
        <f t="shared" si="3"/>
        <v>26040</v>
      </c>
      <c r="E17" s="5">
        <f t="shared" si="3"/>
        <v>25200</v>
      </c>
      <c r="F17" s="5">
        <f t="shared" si="3"/>
        <v>26040</v>
      </c>
      <c r="G17" s="5">
        <f t="shared" si="3"/>
        <v>25200</v>
      </c>
      <c r="H17" s="5">
        <f t="shared" si="3"/>
        <v>26040</v>
      </c>
      <c r="I17" s="5">
        <f t="shared" si="3"/>
        <v>26040</v>
      </c>
      <c r="J17" s="5">
        <f t="shared" si="3"/>
        <v>25200</v>
      </c>
      <c r="K17" s="5">
        <f t="shared" si="3"/>
        <v>26040</v>
      </c>
      <c r="L17" s="5">
        <f t="shared" si="3"/>
        <v>25200</v>
      </c>
      <c r="M17" s="5">
        <f t="shared" si="3"/>
        <v>26040</v>
      </c>
    </row>
    <row r="18" spans="1:27" ht="15" x14ac:dyDescent="0.25">
      <c r="A18" s="2" t="s">
        <v>4</v>
      </c>
      <c r="B18" s="107">
        <f>B2*B11</f>
        <v>2915.5128</v>
      </c>
      <c r="C18" s="107">
        <f t="shared" ref="C18:M18" si="4">C2*C11</f>
        <v>2633.3663999999999</v>
      </c>
      <c r="D18" s="107">
        <f t="shared" si="4"/>
        <v>2915.5128</v>
      </c>
      <c r="E18" s="107">
        <f t="shared" si="4"/>
        <v>2821.4639999999999</v>
      </c>
      <c r="F18" s="107">
        <f t="shared" si="4"/>
        <v>2915.5128</v>
      </c>
      <c r="G18" s="107">
        <f t="shared" si="4"/>
        <v>2821.4639999999999</v>
      </c>
      <c r="H18" s="107">
        <f t="shared" si="4"/>
        <v>2915.5128</v>
      </c>
      <c r="I18" s="107">
        <f t="shared" si="4"/>
        <v>2915.5128</v>
      </c>
      <c r="J18" s="107">
        <f t="shared" si="4"/>
        <v>2821.4639999999999</v>
      </c>
      <c r="K18" s="107">
        <f t="shared" si="4"/>
        <v>2915.5128</v>
      </c>
      <c r="L18" s="107">
        <f t="shared" si="4"/>
        <v>2821.4639999999999</v>
      </c>
      <c r="M18" s="107">
        <f t="shared" si="4"/>
        <v>2915.5128</v>
      </c>
    </row>
    <row r="19" spans="1:27" ht="4.9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27" ht="9.75" customHeight="1" x14ac:dyDescent="0.25">
      <c r="A20" s="9"/>
      <c r="B20" s="173">
        <f>SUM(B15:B17)</f>
        <v>104160</v>
      </c>
      <c r="C20" s="173">
        <f t="shared" ref="C20:M20" si="5">SUM(C15:C17)</f>
        <v>94080</v>
      </c>
      <c r="D20" s="173">
        <f t="shared" si="5"/>
        <v>104160</v>
      </c>
      <c r="E20" s="173">
        <f t="shared" si="5"/>
        <v>100800</v>
      </c>
      <c r="F20" s="173">
        <f t="shared" si="5"/>
        <v>104160</v>
      </c>
      <c r="G20" s="173">
        <f t="shared" si="5"/>
        <v>100800</v>
      </c>
      <c r="H20" s="173">
        <f t="shared" si="5"/>
        <v>104160</v>
      </c>
      <c r="I20" s="173">
        <f t="shared" si="5"/>
        <v>104160</v>
      </c>
      <c r="J20" s="173">
        <f t="shared" si="5"/>
        <v>100800</v>
      </c>
      <c r="K20" s="173">
        <f t="shared" si="5"/>
        <v>104160</v>
      </c>
      <c r="L20" s="173">
        <f t="shared" si="5"/>
        <v>100800</v>
      </c>
      <c r="M20" s="173">
        <f t="shared" si="5"/>
        <v>104160</v>
      </c>
    </row>
    <row r="21" spans="1:27" x14ac:dyDescent="0.3">
      <c r="A21" s="2" t="s">
        <v>0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</row>
    <row r="22" spans="1:27" ht="15" x14ac:dyDescent="0.25">
      <c r="A22" s="2" t="s">
        <v>2</v>
      </c>
      <c r="B22" s="6">
        <f>Preços!$I$5/(0.97*'Energia Aux - Met'!$S$71)+B45</f>
        <v>196.30408284097172</v>
      </c>
      <c r="C22" s="6">
        <f>Preços!$I$5/(0.97*'Energia Aux - Met'!$S$71)+C45</f>
        <v>196.36728455974662</v>
      </c>
      <c r="D22" s="6">
        <f>Preços!$I$5/(0.97*'Energia Aux - Met'!$S$71)+D45</f>
        <v>196.178778564889</v>
      </c>
      <c r="E22" s="6">
        <f>Preços!$I$5/(0.97*'Energia Aux - Met'!$S$71)+E45</f>
        <v>196.66994167968505</v>
      </c>
      <c r="F22" s="6">
        <f>Preços!$I$5/(0.97*'Energia Aux - Met'!$S$71)+F45</f>
        <v>197.13328874261327</v>
      </c>
      <c r="G22" s="6">
        <f>Preços!$I$5/(0.97*'Energia Aux - Met'!$S$71)+G45</f>
        <v>197.59369073665601</v>
      </c>
      <c r="H22" s="6">
        <f>Preços!$I$5/(0.97*'Energia Aux - Met'!$S$71)+H45</f>
        <v>197.45131561054399</v>
      </c>
      <c r="I22" s="6">
        <f>Preços!$I$5/(0.97*'Energia Aux - Met'!$S$71)+I45</f>
        <v>198.96970564061183</v>
      </c>
      <c r="J22" s="6">
        <f>Preços!$I$5/(0.97*'Energia Aux - Met'!$S$71)+J45</f>
        <v>198.78871217210087</v>
      </c>
      <c r="K22" s="6">
        <f>Preços!$I$5/(0.97*'Energia Aux - Met'!$S$71)+K45</f>
        <v>198.78871217210087</v>
      </c>
      <c r="L22" s="6">
        <f>Preços!$I$5/(0.97*'Energia Aux - Met'!$S$71)+L45</f>
        <v>198.78871217210087</v>
      </c>
      <c r="M22" s="6">
        <f>Preços!$I$5/(0.97*'Energia Aux - Met'!$S$71)+M45</f>
        <v>198.78871217210087</v>
      </c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</row>
    <row r="23" spans="1:27" x14ac:dyDescent="0.3">
      <c r="A23" s="71" t="s">
        <v>18</v>
      </c>
      <c r="B23" s="72">
        <f>SUMPRODUCT(B15:B18,B24:B27)/(SUM(B15:B18)*0.97*'Energia Aux - Met'!$S$71)+B45</f>
        <v>241.06908692699957</v>
      </c>
      <c r="C23" s="72">
        <f>SUMPRODUCT(C15:C18,C24:C27)/(SUM(C15:C18)*0.97*'Energia Aux - Met'!$S$71)+C45</f>
        <v>241.13228864577445</v>
      </c>
      <c r="D23" s="72">
        <f>SUMPRODUCT(D15:D18,D24:D27)/(SUM(D15:D18)*0.97*'Energia Aux - Met'!$S$71)+D45</f>
        <v>240.94378265091689</v>
      </c>
      <c r="E23" s="72">
        <f>SUMPRODUCT(E15:E18,E24:E27)/(SUM(E15:E18)*0.97*'Energia Aux - Met'!$S$71)+E45</f>
        <v>241.43494576571291</v>
      </c>
      <c r="F23" s="72">
        <f>SUMPRODUCT(F15:F18,F24:F27)/(SUM(F15:F18)*0.97*'Energia Aux - Met'!$S$71)+F45</f>
        <v>241.89829282864116</v>
      </c>
      <c r="G23" s="72">
        <f>SUMPRODUCT(G15:G18,G24:G27)/(SUM(G15:G18)*0.97*'Energia Aux - Met'!$S$71)+G45</f>
        <v>242.3586948226839</v>
      </c>
      <c r="H23" s="72">
        <f>SUMPRODUCT(H15:H18,H24:H27)/(SUM(H15:H18)*0.97*'Energia Aux - Met'!$S$71)+H45</f>
        <v>242.21631969657187</v>
      </c>
      <c r="I23" s="72">
        <f>SUMPRODUCT(I15:I18,I24:I27)/(SUM(I15:I18)*0.97*'Energia Aux - Met'!$S$71)+I45</f>
        <v>243.73470972663969</v>
      </c>
      <c r="J23" s="72">
        <f>SUMPRODUCT(J15:J18,J24:J27)/(SUM(J15:J18)*0.97*'Energia Aux - Met'!$S$71)+J45</f>
        <v>243.55371625812873</v>
      </c>
      <c r="K23" s="72">
        <f>SUMPRODUCT(K15:K18,K24:K27)/(SUM(K15:K18)*0.97*'Energia Aux - Met'!$S$71)+K45</f>
        <v>243.55371625812873</v>
      </c>
      <c r="L23" s="72">
        <f>SUMPRODUCT(L15:L18,L24:L27)/(SUM(L15:L18)*0.97*'Energia Aux - Met'!$S$71)+L45</f>
        <v>243.55371625812873</v>
      </c>
      <c r="M23" s="72">
        <f>SUMPRODUCT(M15:M18,M24:M27)/(SUM(M15:M18)*0.97*'Energia Aux - Met'!$S$71)+M45</f>
        <v>243.55371625812873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spans="1:27" ht="15" outlineLevel="1" x14ac:dyDescent="0.25">
      <c r="A24" s="2" t="s">
        <v>1</v>
      </c>
      <c r="B24" s="6">
        <f>Preços!$I$6</f>
        <v>124.58484029946239</v>
      </c>
      <c r="C24" s="6">
        <f>Preços!$I$6</f>
        <v>124.58484029946239</v>
      </c>
      <c r="D24" s="6">
        <f>Preços!$I$6</f>
        <v>124.58484029946239</v>
      </c>
      <c r="E24" s="6">
        <f>Preços!$I$6</f>
        <v>124.58484029946239</v>
      </c>
      <c r="F24" s="6">
        <f>Preços!$I$6</f>
        <v>124.58484029946239</v>
      </c>
      <c r="G24" s="6">
        <f>Preços!$I$6</f>
        <v>124.58484029946239</v>
      </c>
      <c r="H24" s="6">
        <f>Preços!$I$6</f>
        <v>124.58484029946239</v>
      </c>
      <c r="I24" s="6">
        <f>Preços!$I$6</f>
        <v>124.58484029946239</v>
      </c>
      <c r="J24" s="6">
        <f>Preços!$I$6</f>
        <v>124.58484029946239</v>
      </c>
      <c r="K24" s="6">
        <f>Preços!$I$6</f>
        <v>124.58484029946239</v>
      </c>
      <c r="L24" s="6">
        <f>Preços!$I$6</f>
        <v>124.58484029946239</v>
      </c>
      <c r="M24" s="6">
        <f>Preços!$I$6</f>
        <v>124.58484029946239</v>
      </c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 spans="1:27" ht="15" outlineLevel="1" x14ac:dyDescent="0.25">
      <c r="A25" s="2" t="s">
        <v>3</v>
      </c>
      <c r="B25" s="6">
        <f>Preços!$I$7</f>
        <v>203.97231638784001</v>
      </c>
      <c r="C25" s="6">
        <f>Preços!$I$7</f>
        <v>203.97231638784001</v>
      </c>
      <c r="D25" s="6">
        <f>Preços!$I$7</f>
        <v>203.97231638784001</v>
      </c>
      <c r="E25" s="6">
        <f>Preços!$I$7</f>
        <v>203.97231638784001</v>
      </c>
      <c r="F25" s="6">
        <f>Preços!$I$7</f>
        <v>203.97231638784001</v>
      </c>
      <c r="G25" s="6">
        <f>Preços!$I$7</f>
        <v>203.97231638784001</v>
      </c>
      <c r="H25" s="6">
        <f>Preços!$I$7</f>
        <v>203.97231638784001</v>
      </c>
      <c r="I25" s="6">
        <f>Preços!$I$7</f>
        <v>203.97231638784001</v>
      </c>
      <c r="J25" s="6">
        <f>Preços!$I$7</f>
        <v>203.97231638784001</v>
      </c>
      <c r="K25" s="6">
        <f>Preços!$I$7</f>
        <v>203.97231638784001</v>
      </c>
      <c r="L25" s="6">
        <f>Preços!$I$7</f>
        <v>203.97231638784001</v>
      </c>
      <c r="M25" s="6">
        <f>Preços!$I$7</f>
        <v>203.97231638784001</v>
      </c>
    </row>
    <row r="26" spans="1:27" ht="15" outlineLevel="1" x14ac:dyDescent="0.25">
      <c r="A26" s="2" t="s">
        <v>82</v>
      </c>
      <c r="B26" s="6">
        <f>Preços!$I$8</f>
        <v>189.76423510043998</v>
      </c>
      <c r="C26" s="6">
        <f>Preços!$I$8</f>
        <v>189.76423510043998</v>
      </c>
      <c r="D26" s="6">
        <f>Preços!$I$8</f>
        <v>189.76423510043998</v>
      </c>
      <c r="E26" s="6">
        <f>Preços!$I$8</f>
        <v>189.76423510043998</v>
      </c>
      <c r="F26" s="6">
        <f>Preços!$I$8</f>
        <v>189.76423510043998</v>
      </c>
      <c r="G26" s="6">
        <f>Preços!$I$8</f>
        <v>189.76423510043998</v>
      </c>
      <c r="H26" s="6">
        <f>Preços!$I$8</f>
        <v>189.76423510043998</v>
      </c>
      <c r="I26" s="6">
        <f>Preços!$I$8</f>
        <v>189.76423510043998</v>
      </c>
      <c r="J26" s="6">
        <f>Preços!$I$8</f>
        <v>189.76423510043998</v>
      </c>
      <c r="K26" s="6">
        <f>Preços!$I$8</f>
        <v>189.76423510043998</v>
      </c>
      <c r="L26" s="6">
        <f>Preços!$I$8</f>
        <v>189.76423510043998</v>
      </c>
      <c r="M26" s="6">
        <f>Preços!$I$8</f>
        <v>189.76423510043998</v>
      </c>
    </row>
    <row r="27" spans="1:27" ht="15" outlineLevel="1" x14ac:dyDescent="0.25">
      <c r="A27" s="2" t="s">
        <v>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27" ht="7.2" customHeight="1" outlineLevel="1" x14ac:dyDescent="0.25">
      <c r="A28" s="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27" ht="15" outlineLevel="1" x14ac:dyDescent="0.25">
      <c r="A29" s="99" t="s">
        <v>95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</row>
    <row r="30" spans="1:27" outlineLevel="1" x14ac:dyDescent="0.3">
      <c r="A30" s="2" t="s">
        <v>5</v>
      </c>
      <c r="B30" s="97">
        <v>26.365521186930302</v>
      </c>
      <c r="C30" s="97">
        <v>26.434690902577064</v>
      </c>
      <c r="D30" s="97">
        <v>26.228030232032779</v>
      </c>
      <c r="E30" s="97">
        <v>26.764505236863457</v>
      </c>
      <c r="F30" s="97">
        <v>27.272461191928929</v>
      </c>
      <c r="G30" s="97">
        <v>27.777755677070683</v>
      </c>
      <c r="H30" s="97">
        <v>27.625243088344615</v>
      </c>
      <c r="I30" s="97">
        <v>29.286288696472383</v>
      </c>
      <c r="J30" s="97">
        <v>29.091921838533725</v>
      </c>
      <c r="K30" s="97">
        <v>29.091921838533725</v>
      </c>
      <c r="L30" s="97">
        <v>29.091921838533725</v>
      </c>
      <c r="M30" s="97">
        <v>29.091921838533725</v>
      </c>
    </row>
    <row r="31" spans="1:27" outlineLevel="1" x14ac:dyDescent="0.3">
      <c r="A31" s="2" t="s">
        <v>6</v>
      </c>
      <c r="B31" s="97">
        <v>0.10853277876346876</v>
      </c>
      <c r="C31" s="97">
        <v>0.10865003191497097</v>
      </c>
      <c r="D31" s="97">
        <v>0.10862360278583558</v>
      </c>
      <c r="E31" s="97">
        <v>0.11050844480572453</v>
      </c>
      <c r="F31" s="97">
        <v>0.1105873030592126</v>
      </c>
      <c r="G31" s="97">
        <v>0.11014841783022017</v>
      </c>
      <c r="H31" s="97">
        <v>0.10686848779740442</v>
      </c>
      <c r="I31" s="97">
        <v>0.11034446067880378</v>
      </c>
      <c r="J31" s="97">
        <v>0.10661830132638526</v>
      </c>
      <c r="K31" s="97">
        <v>0.10661830132638526</v>
      </c>
      <c r="L31" s="97">
        <v>0.10661830132638526</v>
      </c>
      <c r="M31" s="97">
        <v>0.10661830132638526</v>
      </c>
      <c r="O31" s="76"/>
      <c r="Q31" s="60"/>
    </row>
    <row r="32" spans="1:27" ht="15" outlineLevel="1" x14ac:dyDescent="0.25">
      <c r="A32" s="2" t="s">
        <v>7</v>
      </c>
      <c r="B32" s="97">
        <v>27.080110192837466</v>
      </c>
      <c r="C32" s="97">
        <v>27.080110192837466</v>
      </c>
      <c r="D32" s="97">
        <v>27.080110192837466</v>
      </c>
      <c r="E32" s="97">
        <v>27.080110192837466</v>
      </c>
      <c r="F32" s="97">
        <v>27.080110192837466</v>
      </c>
      <c r="G32" s="97">
        <v>27.080110192837466</v>
      </c>
      <c r="H32" s="97">
        <v>27.080110192837466</v>
      </c>
      <c r="I32" s="97">
        <v>27.080110192837466</v>
      </c>
      <c r="J32" s="97">
        <v>27.080110192837466</v>
      </c>
      <c r="K32" s="97">
        <v>27.080110192837466</v>
      </c>
      <c r="L32" s="97">
        <v>27.080110192837466</v>
      </c>
      <c r="M32" s="97">
        <v>27.080110192837466</v>
      </c>
      <c r="O32" s="76"/>
      <c r="Q32" s="60"/>
    </row>
    <row r="33" spans="1:17" ht="15" outlineLevel="1" x14ac:dyDescent="0.25">
      <c r="A33" s="2" t="s">
        <v>8</v>
      </c>
      <c r="B33" s="97">
        <v>9.3514049586776871</v>
      </c>
      <c r="C33" s="97">
        <v>9.3514049586776871</v>
      </c>
      <c r="D33" s="97">
        <v>9.3514049586776871</v>
      </c>
      <c r="E33" s="97">
        <v>9.3514049586776871</v>
      </c>
      <c r="F33" s="97">
        <v>9.3514049586776871</v>
      </c>
      <c r="G33" s="97">
        <v>9.3514049586776871</v>
      </c>
      <c r="H33" s="97">
        <v>9.3514049586776871</v>
      </c>
      <c r="I33" s="97">
        <v>9.3514049586776871</v>
      </c>
      <c r="J33" s="97">
        <v>9.3514049586776871</v>
      </c>
      <c r="K33" s="97">
        <v>9.3514049586776871</v>
      </c>
      <c r="L33" s="97">
        <v>9.3514049586776871</v>
      </c>
      <c r="M33" s="97">
        <v>9.3514049586776871</v>
      </c>
      <c r="O33" s="76"/>
      <c r="Q33" s="60"/>
    </row>
    <row r="34" spans="1:17" ht="15" outlineLevel="1" x14ac:dyDescent="0.25">
      <c r="A34" s="2" t="s">
        <v>9</v>
      </c>
      <c r="B34" s="97">
        <v>0.56154269972451798</v>
      </c>
      <c r="C34" s="97">
        <v>0.56154269972451798</v>
      </c>
      <c r="D34" s="97">
        <v>0.56154269972451798</v>
      </c>
      <c r="E34" s="97">
        <v>0.56154269972451798</v>
      </c>
      <c r="F34" s="97">
        <v>0.56154269972451798</v>
      </c>
      <c r="G34" s="97">
        <v>0.56154269972451798</v>
      </c>
      <c r="H34" s="97">
        <v>0.56154269972451798</v>
      </c>
      <c r="I34" s="97">
        <v>0.56154269972451798</v>
      </c>
      <c r="J34" s="97">
        <v>0.56154269972451798</v>
      </c>
      <c r="K34" s="97">
        <v>0.56154269972451798</v>
      </c>
      <c r="L34" s="97">
        <v>0.56154269972451798</v>
      </c>
      <c r="M34" s="97">
        <v>0.56154269972451798</v>
      </c>
      <c r="O34" s="76"/>
      <c r="Q34" s="60"/>
    </row>
    <row r="35" spans="1:17" ht="15" outlineLevel="1" x14ac:dyDescent="0.25">
      <c r="A35" s="2" t="s">
        <v>10</v>
      </c>
      <c r="B35" s="97">
        <v>27.767713498622591</v>
      </c>
      <c r="C35" s="97">
        <v>27.767713498622591</v>
      </c>
      <c r="D35" s="97">
        <v>27.767713498622591</v>
      </c>
      <c r="E35" s="97">
        <v>27.767713498622591</v>
      </c>
      <c r="F35" s="97">
        <v>27.767713498622591</v>
      </c>
      <c r="G35" s="97">
        <v>27.767713498622591</v>
      </c>
      <c r="H35" s="97">
        <v>27.767713498622591</v>
      </c>
      <c r="I35" s="97">
        <v>27.767713498622591</v>
      </c>
      <c r="J35" s="97">
        <v>27.767713498622591</v>
      </c>
      <c r="K35" s="97">
        <v>27.767713498622591</v>
      </c>
      <c r="L35" s="97">
        <v>27.767713498622591</v>
      </c>
      <c r="M35" s="97">
        <v>27.767713498622591</v>
      </c>
      <c r="O35" s="76"/>
      <c r="Q35" s="60"/>
    </row>
    <row r="36" spans="1:17" ht="15" outlineLevel="1" x14ac:dyDescent="0.25">
      <c r="A36" s="7" t="s">
        <v>11</v>
      </c>
      <c r="B36" s="8">
        <f>SUM(B30:B35)</f>
        <v>91.234825315556037</v>
      </c>
      <c r="C36" s="8">
        <f t="shared" ref="C36:J36" si="6">SUM(C30:C35)</f>
        <v>91.304112284354304</v>
      </c>
      <c r="D36" s="8">
        <f t="shared" si="6"/>
        <v>91.097425184680887</v>
      </c>
      <c r="E36" s="8">
        <f t="shared" si="6"/>
        <v>91.635785031531441</v>
      </c>
      <c r="F36" s="8">
        <f t="shared" si="6"/>
        <v>92.143819844850412</v>
      </c>
      <c r="G36" s="8">
        <f t="shared" si="6"/>
        <v>92.648675444763171</v>
      </c>
      <c r="H36" s="8">
        <f t="shared" si="6"/>
        <v>92.492882926004285</v>
      </c>
      <c r="I36" s="8">
        <f t="shared" si="6"/>
        <v>94.157404507013439</v>
      </c>
      <c r="J36" s="8">
        <f t="shared" si="6"/>
        <v>93.959311489722381</v>
      </c>
      <c r="K36" s="8">
        <f t="shared" ref="K36:M36" si="7">SUM(K30:K35)</f>
        <v>93.959311489722381</v>
      </c>
      <c r="L36" s="8">
        <f t="shared" si="7"/>
        <v>93.959311489722381</v>
      </c>
      <c r="M36" s="8">
        <f t="shared" si="7"/>
        <v>93.959311489722381</v>
      </c>
    </row>
    <row r="37" spans="1:17" ht="15" outlineLevel="1" x14ac:dyDescent="0.25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</row>
    <row r="38" spans="1:17" ht="15" outlineLevel="1" x14ac:dyDescent="0.25">
      <c r="A38" s="99" t="s">
        <v>96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</row>
    <row r="39" spans="1:17" outlineLevel="1" x14ac:dyDescent="0.3">
      <c r="A39" s="2" t="s">
        <v>5</v>
      </c>
      <c r="B39" s="97">
        <f>((SUM(B14:B16,B18)*B30)+(B17*B30/2))/SUM(B14:B18)</f>
        <v>24.045997578685927</v>
      </c>
      <c r="C39" s="97">
        <f t="shared" ref="C39:M39" si="8">((SUM(C14:C16,C18)*C30)+(C17*C30/2))/SUM(C14:C18)</f>
        <v>24.109082044309346</v>
      </c>
      <c r="D39" s="97">
        <f t="shared" si="8"/>
        <v>23.920602478580872</v>
      </c>
      <c r="E39" s="97">
        <f t="shared" si="8"/>
        <v>24.409880751357015</v>
      </c>
      <c r="F39" s="97">
        <f t="shared" si="8"/>
        <v>24.87314895603177</v>
      </c>
      <c r="G39" s="97">
        <f t="shared" si="8"/>
        <v>25.333989835303484</v>
      </c>
      <c r="H39" s="97">
        <f t="shared" si="8"/>
        <v>25.194894639224291</v>
      </c>
      <c r="I39" s="97">
        <f t="shared" si="8"/>
        <v>26.709808696410715</v>
      </c>
      <c r="J39" s="97">
        <f t="shared" si="8"/>
        <v>26.532541387252166</v>
      </c>
      <c r="K39" s="97">
        <f t="shared" si="8"/>
        <v>26.532541387252166</v>
      </c>
      <c r="L39" s="97">
        <f t="shared" si="8"/>
        <v>26.532541387252166</v>
      </c>
      <c r="M39" s="97">
        <f t="shared" si="8"/>
        <v>26.532541387252166</v>
      </c>
    </row>
    <row r="40" spans="1:17" outlineLevel="1" x14ac:dyDescent="0.3">
      <c r="A40" s="2" t="s">
        <v>6</v>
      </c>
      <c r="B40" s="97">
        <f>B31</f>
        <v>0.10853277876346876</v>
      </c>
      <c r="C40" s="97">
        <f t="shared" ref="C40:M40" si="9">C31</f>
        <v>0.10865003191497097</v>
      </c>
      <c r="D40" s="97">
        <f t="shared" si="9"/>
        <v>0.10862360278583558</v>
      </c>
      <c r="E40" s="97">
        <f t="shared" si="9"/>
        <v>0.11050844480572453</v>
      </c>
      <c r="F40" s="97">
        <f t="shared" si="9"/>
        <v>0.1105873030592126</v>
      </c>
      <c r="G40" s="97">
        <f t="shared" si="9"/>
        <v>0.11014841783022017</v>
      </c>
      <c r="H40" s="97">
        <f t="shared" si="9"/>
        <v>0.10686848779740442</v>
      </c>
      <c r="I40" s="97">
        <f t="shared" si="9"/>
        <v>0.11034446067880378</v>
      </c>
      <c r="J40" s="97">
        <f t="shared" si="9"/>
        <v>0.10661830132638526</v>
      </c>
      <c r="K40" s="97">
        <f t="shared" si="9"/>
        <v>0.10661830132638526</v>
      </c>
      <c r="L40" s="97">
        <f t="shared" si="9"/>
        <v>0.10661830132638526</v>
      </c>
      <c r="M40" s="97">
        <f t="shared" si="9"/>
        <v>0.10661830132638526</v>
      </c>
    </row>
    <row r="41" spans="1:17" ht="15" outlineLevel="1" x14ac:dyDescent="0.25">
      <c r="A41" s="2" t="s">
        <v>7</v>
      </c>
      <c r="B41" s="97">
        <f>((SUM(B$14:B$16,B$18)*B$32)+(B$17*0))/SUM(B$14:B$18)</f>
        <v>22.315330125657702</v>
      </c>
      <c r="C41" s="97">
        <f t="shared" ref="C41:M41" si="10">((SUM(C$14:C$16,C$18)*C$32)+(C$17*0))/SUM(C$14:C$18)</f>
        <v>22.315330125657702</v>
      </c>
      <c r="D41" s="97">
        <f t="shared" si="10"/>
        <v>22.315330125657702</v>
      </c>
      <c r="E41" s="97">
        <f t="shared" si="10"/>
        <v>22.315330125657702</v>
      </c>
      <c r="F41" s="97">
        <f t="shared" si="10"/>
        <v>22.315330125657702</v>
      </c>
      <c r="G41" s="97">
        <f t="shared" si="10"/>
        <v>22.315330125657702</v>
      </c>
      <c r="H41" s="97">
        <f t="shared" si="10"/>
        <v>22.315330125657702</v>
      </c>
      <c r="I41" s="97">
        <f t="shared" si="10"/>
        <v>22.315330125657702</v>
      </c>
      <c r="J41" s="97">
        <f t="shared" si="10"/>
        <v>22.315330125657702</v>
      </c>
      <c r="K41" s="97">
        <f t="shared" si="10"/>
        <v>22.315330125657702</v>
      </c>
      <c r="L41" s="97">
        <f t="shared" si="10"/>
        <v>22.315330125657702</v>
      </c>
      <c r="M41" s="97">
        <f t="shared" si="10"/>
        <v>22.315330125657702</v>
      </c>
      <c r="Q41" s="108"/>
    </row>
    <row r="42" spans="1:17" ht="15" outlineLevel="1" x14ac:dyDescent="0.25">
      <c r="A42" s="2" t="s">
        <v>8</v>
      </c>
      <c r="B42" s="97">
        <f>((SUM(B$14:B$16,B$18)*B$33)+(B$17*0))/SUM(B$14:B$18)</f>
        <v>7.7060132808026616</v>
      </c>
      <c r="C42" s="97">
        <f t="shared" ref="C42:M42" si="11">((SUM(C$14:C$16,C$18)*C$33)+(C$17*0))/SUM(C$14:C$18)</f>
        <v>7.7060132808026598</v>
      </c>
      <c r="D42" s="97">
        <f t="shared" si="11"/>
        <v>7.7060132808026616</v>
      </c>
      <c r="E42" s="97">
        <f t="shared" si="11"/>
        <v>7.7060132808026616</v>
      </c>
      <c r="F42" s="97">
        <f t="shared" si="11"/>
        <v>7.7060132808026616</v>
      </c>
      <c r="G42" s="97">
        <f t="shared" si="11"/>
        <v>7.7060132808026616</v>
      </c>
      <c r="H42" s="97">
        <f t="shared" si="11"/>
        <v>7.7060132808026616</v>
      </c>
      <c r="I42" s="97">
        <f t="shared" si="11"/>
        <v>7.7060132808026616</v>
      </c>
      <c r="J42" s="97">
        <f t="shared" si="11"/>
        <v>7.7060132808026616</v>
      </c>
      <c r="K42" s="97">
        <f t="shared" si="11"/>
        <v>7.7060132808026616</v>
      </c>
      <c r="L42" s="97">
        <f t="shared" si="11"/>
        <v>7.7060132808026616</v>
      </c>
      <c r="M42" s="97">
        <f t="shared" si="11"/>
        <v>7.7060132808026616</v>
      </c>
    </row>
    <row r="43" spans="1:17" ht="15" outlineLevel="1" x14ac:dyDescent="0.25">
      <c r="A43" s="2" t="s">
        <v>9</v>
      </c>
      <c r="B43" s="97">
        <f>((SUM(B$14:B$16,B$18)*B$34)+(B$17*0))/SUM(B$14:B$18)</f>
        <v>0.46273854259721864</v>
      </c>
      <c r="C43" s="97">
        <f t="shared" ref="C43:M43" si="12">((SUM(C$14:C$16,C$18)*C$34)+(C$17*0))/SUM(C$14:C$18)</f>
        <v>0.46273854259721858</v>
      </c>
      <c r="D43" s="97">
        <f t="shared" si="12"/>
        <v>0.46273854259721864</v>
      </c>
      <c r="E43" s="97">
        <f t="shared" si="12"/>
        <v>0.46273854259721864</v>
      </c>
      <c r="F43" s="97">
        <f t="shared" si="12"/>
        <v>0.46273854259721864</v>
      </c>
      <c r="G43" s="97">
        <f t="shared" si="12"/>
        <v>0.46273854259721864</v>
      </c>
      <c r="H43" s="97">
        <f t="shared" si="12"/>
        <v>0.46273854259721864</v>
      </c>
      <c r="I43" s="97">
        <f t="shared" si="12"/>
        <v>0.46273854259721864</v>
      </c>
      <c r="J43" s="97">
        <f t="shared" si="12"/>
        <v>0.46273854259721864</v>
      </c>
      <c r="K43" s="97">
        <f t="shared" si="12"/>
        <v>0.46273854259721864</v>
      </c>
      <c r="L43" s="97">
        <f t="shared" si="12"/>
        <v>0.46273854259721864</v>
      </c>
      <c r="M43" s="97">
        <f t="shared" si="12"/>
        <v>0.46273854259721864</v>
      </c>
    </row>
    <row r="44" spans="1:17" ht="15" outlineLevel="1" x14ac:dyDescent="0.25">
      <c r="A44" s="2" t="s">
        <v>10</v>
      </c>
      <c r="B44" s="97">
        <f>((SUM(B$14:B$16,B$18)*B$35)+(B$17*0))/SUM(B$14:B$18)</f>
        <v>22.881948749246135</v>
      </c>
      <c r="C44" s="97">
        <f t="shared" ref="C44:M44" si="13">((SUM(C$14:C$16,C$18)*C$35)+(C$17*0))/SUM(C$14:C$18)</f>
        <v>22.881948749246135</v>
      </c>
      <c r="D44" s="97">
        <f t="shared" si="13"/>
        <v>22.881948749246135</v>
      </c>
      <c r="E44" s="97">
        <f t="shared" si="13"/>
        <v>22.881948749246135</v>
      </c>
      <c r="F44" s="97">
        <f t="shared" si="13"/>
        <v>22.881948749246135</v>
      </c>
      <c r="G44" s="97">
        <f t="shared" si="13"/>
        <v>22.881948749246135</v>
      </c>
      <c r="H44" s="97">
        <f t="shared" si="13"/>
        <v>22.881948749246135</v>
      </c>
      <c r="I44" s="97">
        <f t="shared" si="13"/>
        <v>22.881948749246135</v>
      </c>
      <c r="J44" s="97">
        <f t="shared" si="13"/>
        <v>22.881948749246135</v>
      </c>
      <c r="K44" s="97">
        <f t="shared" si="13"/>
        <v>22.881948749246135</v>
      </c>
      <c r="L44" s="97">
        <f t="shared" si="13"/>
        <v>22.881948749246135</v>
      </c>
      <c r="M44" s="97">
        <f t="shared" si="13"/>
        <v>22.881948749246135</v>
      </c>
    </row>
    <row r="45" spans="1:17" ht="15" outlineLevel="1" x14ac:dyDescent="0.25">
      <c r="A45" s="7" t="s">
        <v>11</v>
      </c>
      <c r="B45" s="8">
        <f>SUM(B39:B44)</f>
        <v>77.52056105575312</v>
      </c>
      <c r="C45" s="8">
        <f t="shared" ref="C45:M45" si="14">SUM(C39:C44)</f>
        <v>77.583762774528026</v>
      </c>
      <c r="D45" s="8">
        <f t="shared" si="14"/>
        <v>77.395256779670433</v>
      </c>
      <c r="E45" s="8">
        <f t="shared" si="14"/>
        <v>77.886419894466457</v>
      </c>
      <c r="F45" s="8">
        <f t="shared" si="14"/>
        <v>78.349766957394706</v>
      </c>
      <c r="G45" s="8">
        <f t="shared" si="14"/>
        <v>78.810168951437433</v>
      </c>
      <c r="H45" s="8">
        <f t="shared" si="14"/>
        <v>78.667793825325418</v>
      </c>
      <c r="I45" s="8">
        <f t="shared" si="14"/>
        <v>80.186183855393239</v>
      </c>
      <c r="J45" s="8">
        <f t="shared" si="14"/>
        <v>80.005190386882276</v>
      </c>
      <c r="K45" s="8">
        <f t="shared" si="14"/>
        <v>80.005190386882276</v>
      </c>
      <c r="L45" s="8">
        <f t="shared" si="14"/>
        <v>80.005190386882276</v>
      </c>
      <c r="M45" s="8">
        <f t="shared" si="14"/>
        <v>80.005190386882276</v>
      </c>
    </row>
    <row r="46" spans="1:17" ht="15" outlineLevel="1" x14ac:dyDescent="0.25">
      <c r="A46" s="100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</row>
    <row r="47" spans="1:17" ht="11.4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7" x14ac:dyDescent="0.3">
      <c r="A48" s="2" t="s">
        <v>21</v>
      </c>
      <c r="B48" s="6">
        <f>SUMPRODUCT(B24:B26,B15:B17)/SUM(B15:B17)/0.9075</f>
        <v>170.86063252395428</v>
      </c>
      <c r="C48" s="6">
        <f t="shared" ref="C48:M48" si="15">SUMPRODUCT(C24:C26,C15:C17)/SUM(C15:C17)/0.9075</f>
        <v>170.86063252395428</v>
      </c>
      <c r="D48" s="6">
        <f t="shared" si="15"/>
        <v>170.86063252395428</v>
      </c>
      <c r="E48" s="6">
        <f t="shared" si="15"/>
        <v>170.86063252395425</v>
      </c>
      <c r="F48" s="6">
        <f t="shared" si="15"/>
        <v>170.86063252395428</v>
      </c>
      <c r="G48" s="6">
        <f t="shared" si="15"/>
        <v>170.86063252395425</v>
      </c>
      <c r="H48" s="6">
        <f t="shared" si="15"/>
        <v>170.86063252395428</v>
      </c>
      <c r="I48" s="6">
        <f t="shared" si="15"/>
        <v>170.86063252395428</v>
      </c>
      <c r="J48" s="6">
        <f t="shared" si="15"/>
        <v>170.86063252395425</v>
      </c>
      <c r="K48" s="6">
        <f t="shared" si="15"/>
        <v>170.86063252395428</v>
      </c>
      <c r="L48" s="6">
        <f t="shared" si="15"/>
        <v>170.86063252395425</v>
      </c>
      <c r="M48" s="6">
        <f t="shared" si="15"/>
        <v>170.86063252395428</v>
      </c>
    </row>
    <row r="49" spans="1:13" x14ac:dyDescent="0.3">
      <c r="A49" s="2" t="s">
        <v>23</v>
      </c>
      <c r="B49" s="2">
        <f>'Curva de Preços SPOT'!B9</f>
        <v>175.43</v>
      </c>
      <c r="C49" s="2">
        <f>'Curva de Preços SPOT'!C9</f>
        <v>175.43</v>
      </c>
      <c r="D49" s="2">
        <f>'Curva de Preços SPOT'!D9</f>
        <v>175.43</v>
      </c>
      <c r="E49" s="2">
        <f>'Curva de Preços SPOT'!E9</f>
        <v>175.43</v>
      </c>
      <c r="F49" s="2">
        <f>'Curva de Preços SPOT'!F9</f>
        <v>175.43</v>
      </c>
      <c r="G49" s="2">
        <f>'Curva de Preços SPOT'!G9</f>
        <v>175.43</v>
      </c>
      <c r="H49" s="2">
        <f>'Curva de Preços SPOT'!H9</f>
        <v>175.43</v>
      </c>
      <c r="I49" s="2">
        <f>'Curva de Preços SPOT'!I9</f>
        <v>175.43</v>
      </c>
      <c r="J49" s="2">
        <f>'Curva de Preços SPOT'!J9</f>
        <v>175.43</v>
      </c>
      <c r="K49" s="2">
        <f>'Curva de Preços SPOT'!K9</f>
        <v>175.43</v>
      </c>
      <c r="L49" s="2">
        <f>'Curva de Preços SPOT'!L9</f>
        <v>175.43</v>
      </c>
      <c r="M49" s="2">
        <f>'Curva de Preços SPOT'!M9</f>
        <v>175.43</v>
      </c>
    </row>
    <row r="50" spans="1:13" x14ac:dyDescent="0.3">
      <c r="A50" s="2" t="s">
        <v>22</v>
      </c>
      <c r="B50" s="6">
        <f>(B49*0.9075)/0.97+(SUM(B15:B16)*B36+B17*(B39/B30/2+B31))/SUM(B15:B17)</f>
        <v>232.69377584487722</v>
      </c>
      <c r="C50" s="6">
        <f t="shared" ref="C50:M50" si="16">(C49*0.9075)/0.97+(SUM(C15:C16)*C36+C17*(C39/C30/2+C31))/SUM(C15:C17)</f>
        <v>232.74577038476377</v>
      </c>
      <c r="D50" s="6">
        <f t="shared" si="16"/>
        <v>232.59074845272644</v>
      </c>
      <c r="E50" s="6">
        <f t="shared" si="16"/>
        <v>232.99498954836932</v>
      </c>
      <c r="F50" s="6">
        <f t="shared" si="16"/>
        <v>233.37603537292193</v>
      </c>
      <c r="G50" s="6">
        <f t="shared" si="16"/>
        <v>233.75456735154927</v>
      </c>
      <c r="H50" s="6">
        <f t="shared" si="16"/>
        <v>233.63690297997189</v>
      </c>
      <c r="I50" s="6">
        <f t="shared" si="16"/>
        <v>234.8861631589491</v>
      </c>
      <c r="J50" s="6">
        <f t="shared" si="16"/>
        <v>234.73666185614269</v>
      </c>
      <c r="K50" s="6">
        <f t="shared" si="16"/>
        <v>234.73666185614269</v>
      </c>
      <c r="L50" s="6">
        <f t="shared" si="16"/>
        <v>234.73666185614269</v>
      </c>
      <c r="M50" s="6">
        <f t="shared" si="16"/>
        <v>234.73666185614269</v>
      </c>
    </row>
    <row r="51" spans="1:13" ht="10.9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 s="2" t="s">
        <v>24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3">
      <c r="A54" s="2" t="s">
        <v>14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" x14ac:dyDescent="0.25">
      <c r="A55" s="2" t="s">
        <v>25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ht="15" x14ac:dyDescent="0.25">
      <c r="A56" s="2" t="s">
        <v>26</v>
      </c>
      <c r="B56" s="4">
        <v>5</v>
      </c>
      <c r="C56" s="4">
        <v>5</v>
      </c>
      <c r="D56" s="4">
        <v>5</v>
      </c>
      <c r="E56" s="4">
        <v>5</v>
      </c>
      <c r="F56" s="4">
        <v>5</v>
      </c>
      <c r="G56" s="4">
        <v>5</v>
      </c>
      <c r="H56" s="4">
        <v>5</v>
      </c>
      <c r="I56" s="4">
        <v>5</v>
      </c>
      <c r="J56" s="4">
        <v>5</v>
      </c>
      <c r="K56" s="4">
        <v>5</v>
      </c>
      <c r="L56" s="4">
        <v>5</v>
      </c>
      <c r="M56" s="4">
        <v>5</v>
      </c>
    </row>
    <row r="57" spans="1:13" ht="15" x14ac:dyDescent="0.25">
      <c r="A57" s="2" t="s">
        <v>4</v>
      </c>
      <c r="B57" s="193">
        <v>9.6500000000000002E-2</v>
      </c>
      <c r="C57" s="193">
        <v>9.6500000000000002E-2</v>
      </c>
      <c r="D57" s="193">
        <v>9.6500000000000002E-2</v>
      </c>
      <c r="E57" s="193">
        <v>9.6500000000000002E-2</v>
      </c>
      <c r="F57" s="193">
        <v>9.6500000000000002E-2</v>
      </c>
      <c r="G57" s="193">
        <v>9.6500000000000002E-2</v>
      </c>
      <c r="H57" s="193">
        <v>9.6500000000000002E-2</v>
      </c>
      <c r="I57" s="193">
        <v>9.6500000000000002E-2</v>
      </c>
      <c r="J57" s="193">
        <v>9.6500000000000002E-2</v>
      </c>
      <c r="K57" s="193">
        <v>9.6500000000000002E-2</v>
      </c>
      <c r="L57" s="193">
        <v>9.6500000000000002E-2</v>
      </c>
      <c r="M57" s="193">
        <v>9.6500000000000002E-2</v>
      </c>
    </row>
    <row r="58" spans="1:13" ht="6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ht="15" x14ac:dyDescent="0.25">
      <c r="A59" s="2" t="s">
        <v>17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" x14ac:dyDescent="0.25">
      <c r="A60" s="2" t="s">
        <v>25</v>
      </c>
      <c r="B60" s="5">
        <f t="shared" ref="B60:M60" si="17">B55*B2</f>
        <v>0</v>
      </c>
      <c r="C60" s="5">
        <f t="shared" si="17"/>
        <v>0</v>
      </c>
      <c r="D60" s="5">
        <f t="shared" si="17"/>
        <v>0</v>
      </c>
      <c r="E60" s="5">
        <f t="shared" si="17"/>
        <v>0</v>
      </c>
      <c r="F60" s="5">
        <f t="shared" si="17"/>
        <v>0</v>
      </c>
      <c r="G60" s="5">
        <f t="shared" si="17"/>
        <v>0</v>
      </c>
      <c r="H60" s="5">
        <f t="shared" si="17"/>
        <v>0</v>
      </c>
      <c r="I60" s="5">
        <f t="shared" si="17"/>
        <v>0</v>
      </c>
      <c r="J60" s="5">
        <f t="shared" si="17"/>
        <v>0</v>
      </c>
      <c r="K60" s="5">
        <f t="shared" si="17"/>
        <v>0</v>
      </c>
      <c r="L60" s="5">
        <f t="shared" si="17"/>
        <v>0</v>
      </c>
      <c r="M60" s="5">
        <f t="shared" si="17"/>
        <v>0</v>
      </c>
    </row>
    <row r="61" spans="1:13" ht="15" x14ac:dyDescent="0.25">
      <c r="A61" s="2" t="s">
        <v>26</v>
      </c>
      <c r="B61" s="5">
        <f t="shared" ref="B61:M61" si="18">B56*B2</f>
        <v>3720</v>
      </c>
      <c r="C61" s="5">
        <f t="shared" si="18"/>
        <v>3360</v>
      </c>
      <c r="D61" s="5">
        <f t="shared" si="18"/>
        <v>3720</v>
      </c>
      <c r="E61" s="5">
        <f t="shared" si="18"/>
        <v>3600</v>
      </c>
      <c r="F61" s="5">
        <f t="shared" si="18"/>
        <v>3720</v>
      </c>
      <c r="G61" s="5">
        <f t="shared" si="18"/>
        <v>3600</v>
      </c>
      <c r="H61" s="5">
        <f t="shared" si="18"/>
        <v>3720</v>
      </c>
      <c r="I61" s="5">
        <f t="shared" si="18"/>
        <v>3720</v>
      </c>
      <c r="J61" s="5">
        <f t="shared" si="18"/>
        <v>3600</v>
      </c>
      <c r="K61" s="5">
        <f t="shared" si="18"/>
        <v>3720</v>
      </c>
      <c r="L61" s="5">
        <f t="shared" si="18"/>
        <v>3600</v>
      </c>
      <c r="M61" s="5">
        <f t="shared" si="18"/>
        <v>3720</v>
      </c>
    </row>
    <row r="62" spans="1:13" ht="15" x14ac:dyDescent="0.25">
      <c r="A62" s="2" t="s">
        <v>4</v>
      </c>
      <c r="B62" s="107">
        <f>B57*B2</f>
        <v>71.796000000000006</v>
      </c>
      <c r="C62" s="107">
        <f t="shared" ref="C62:M62" si="19">C57*C2</f>
        <v>64.847999999999999</v>
      </c>
      <c r="D62" s="107">
        <f t="shared" si="19"/>
        <v>71.796000000000006</v>
      </c>
      <c r="E62" s="107">
        <f t="shared" si="19"/>
        <v>69.48</v>
      </c>
      <c r="F62" s="107">
        <f t="shared" si="19"/>
        <v>71.796000000000006</v>
      </c>
      <c r="G62" s="107">
        <f t="shared" si="19"/>
        <v>69.48</v>
      </c>
      <c r="H62" s="107">
        <f t="shared" si="19"/>
        <v>71.796000000000006</v>
      </c>
      <c r="I62" s="107">
        <f t="shared" si="19"/>
        <v>71.796000000000006</v>
      </c>
      <c r="J62" s="107">
        <f t="shared" si="19"/>
        <v>69.48</v>
      </c>
      <c r="K62" s="107">
        <f t="shared" si="19"/>
        <v>71.796000000000006</v>
      </c>
      <c r="L62" s="107">
        <f t="shared" si="19"/>
        <v>69.48</v>
      </c>
      <c r="M62" s="107">
        <f t="shared" si="19"/>
        <v>71.796000000000006</v>
      </c>
    </row>
    <row r="63" spans="1:13" ht="7.2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1:13" x14ac:dyDescent="0.3">
      <c r="A64" s="2" t="s">
        <v>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6" x14ac:dyDescent="0.3">
      <c r="A65" s="2" t="s">
        <v>28</v>
      </c>
      <c r="B65" s="6">
        <f>SUMPRODUCT(B66:B68,B60:B62)/(SUM(B60:B62)*0.97)+B73</f>
        <v>361.28454101019508</v>
      </c>
      <c r="C65" s="6">
        <f t="shared" ref="C65:J65" si="20">SUMPRODUCT(C66:C68,C60:C62)/(SUM(C60:C62)*0.97)+C73</f>
        <v>372.45047418991857</v>
      </c>
      <c r="D65" s="6">
        <f t="shared" si="20"/>
        <v>361.28454101019508</v>
      </c>
      <c r="E65" s="6">
        <f t="shared" si="20"/>
        <v>352.50977577722017</v>
      </c>
      <c r="F65" s="6">
        <f t="shared" si="20"/>
        <v>349.53782058008755</v>
      </c>
      <c r="G65" s="6">
        <f t="shared" si="20"/>
        <v>352.50977577722017</v>
      </c>
      <c r="H65" s="6">
        <f t="shared" si="20"/>
        <v>349.53782058008755</v>
      </c>
      <c r="I65" s="6">
        <f t="shared" si="20"/>
        <v>349.53782058008755</v>
      </c>
      <c r="J65" s="6">
        <f t="shared" si="20"/>
        <v>352.50977577722017</v>
      </c>
      <c r="K65" s="6">
        <f t="shared" ref="K65:M65" si="21">SUMPRODUCT(K66:K68,K60:K62)/(SUM(K60:K62)*0.97)+K73</f>
        <v>349.53782058008755</v>
      </c>
      <c r="L65" s="6">
        <f t="shared" si="21"/>
        <v>352.50977577722017</v>
      </c>
      <c r="M65" s="6">
        <f t="shared" si="21"/>
        <v>349.53782058008755</v>
      </c>
    </row>
    <row r="66" spans="1:16" ht="15" outlineLevel="1" x14ac:dyDescent="0.25">
      <c r="A66" s="2" t="s">
        <v>27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6" ht="15" outlineLevel="1" x14ac:dyDescent="0.25">
      <c r="A67" s="2" t="s">
        <v>26</v>
      </c>
      <c r="B67" s="6">
        <f>B25</f>
        <v>203.97231638784001</v>
      </c>
      <c r="C67" s="6">
        <f t="shared" ref="C67:L67" si="22">C25</f>
        <v>203.97231638784001</v>
      </c>
      <c r="D67" s="6">
        <f t="shared" si="22"/>
        <v>203.97231638784001</v>
      </c>
      <c r="E67" s="6">
        <f t="shared" si="22"/>
        <v>203.97231638784001</v>
      </c>
      <c r="F67" s="6">
        <f t="shared" si="22"/>
        <v>203.97231638784001</v>
      </c>
      <c r="G67" s="6">
        <f t="shared" si="22"/>
        <v>203.97231638784001</v>
      </c>
      <c r="H67" s="6">
        <f t="shared" si="22"/>
        <v>203.97231638784001</v>
      </c>
      <c r="I67" s="6">
        <f t="shared" si="22"/>
        <v>203.97231638784001</v>
      </c>
      <c r="J67" s="6">
        <f t="shared" si="22"/>
        <v>203.97231638784001</v>
      </c>
      <c r="K67" s="6">
        <f t="shared" si="22"/>
        <v>203.97231638784001</v>
      </c>
      <c r="L67" s="6">
        <f t="shared" si="22"/>
        <v>203.97231638784001</v>
      </c>
      <c r="M67" s="6">
        <f>M25</f>
        <v>203.97231638784001</v>
      </c>
    </row>
    <row r="68" spans="1:16" ht="15" outlineLevel="1" x14ac:dyDescent="0.25">
      <c r="A68" s="2" t="s">
        <v>4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</row>
    <row r="69" spans="1:16" ht="9" customHeight="1" outlineLevel="1" x14ac:dyDescent="0.25">
      <c r="A69" s="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6" ht="15" outlineLevel="1" x14ac:dyDescent="0.25">
      <c r="A70" s="2" t="s">
        <v>19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6" ht="15" outlineLevel="1" x14ac:dyDescent="0.25">
      <c r="A71" s="2" t="s">
        <v>12</v>
      </c>
      <c r="B71" s="6">
        <f>'Encargos Mineração'!C24</f>
        <v>104.21537634408601</v>
      </c>
      <c r="C71" s="6">
        <f>'Encargos Mineração'!D24</f>
        <v>115.38130952380951</v>
      </c>
      <c r="D71" s="6">
        <f>'Encargos Mineração'!E24</f>
        <v>104.21537634408601</v>
      </c>
      <c r="E71" s="6">
        <f>'Encargos Mineração'!F24</f>
        <v>92.130611111111108</v>
      </c>
      <c r="F71" s="6">
        <f>'Encargos Mineração'!G24</f>
        <v>89.158655913978492</v>
      </c>
      <c r="G71" s="6">
        <f>'Encargos Mineração'!H24</f>
        <v>92.130611111111108</v>
      </c>
      <c r="H71" s="6">
        <f>'Encargos Mineração'!I24</f>
        <v>89.158655913978492</v>
      </c>
      <c r="I71" s="6">
        <f>'Encargos Mineração'!J24</f>
        <v>89.158655913978492</v>
      </c>
      <c r="J71" s="6">
        <f>'Encargos Mineração'!K24</f>
        <v>92.130611111111108</v>
      </c>
      <c r="K71" s="6">
        <f>'Encargos Mineração'!L24</f>
        <v>89.158655913978492</v>
      </c>
      <c r="L71" s="6">
        <f>'Encargos Mineração'!M24</f>
        <v>92.130611111111108</v>
      </c>
      <c r="M71" s="6">
        <f>'Encargos Mineração'!N24</f>
        <v>89.158655913978492</v>
      </c>
      <c r="P71" s="6"/>
    </row>
    <row r="72" spans="1:16" ht="15" outlineLevel="1" x14ac:dyDescent="0.25">
      <c r="A72" s="2" t="s">
        <v>13</v>
      </c>
      <c r="B72" s="6">
        <f>'Encargos Mineração'!C25</f>
        <v>50.77</v>
      </c>
      <c r="C72" s="6">
        <f>'Encargos Mineração'!D25</f>
        <v>50.77</v>
      </c>
      <c r="D72" s="6">
        <f>'Encargos Mineração'!E25</f>
        <v>50.77</v>
      </c>
      <c r="E72" s="6">
        <f>'Encargos Mineração'!F25</f>
        <v>54.08</v>
      </c>
      <c r="F72" s="6">
        <f>'Encargos Mineração'!G25</f>
        <v>54.08</v>
      </c>
      <c r="G72" s="6">
        <f>'Encargos Mineração'!H25</f>
        <v>54.08</v>
      </c>
      <c r="H72" s="6">
        <f>'Encargos Mineração'!I25</f>
        <v>54.08</v>
      </c>
      <c r="I72" s="6">
        <f>'Encargos Mineração'!J25</f>
        <v>54.08</v>
      </c>
      <c r="J72" s="6">
        <f>'Encargos Mineração'!K25</f>
        <v>54.08</v>
      </c>
      <c r="K72" s="6">
        <f>'Encargos Mineração'!L25</f>
        <v>54.08</v>
      </c>
      <c r="L72" s="6">
        <f>'Encargos Mineração'!M25</f>
        <v>54.08</v>
      </c>
      <c r="M72" s="6">
        <f>'Encargos Mineração'!N25</f>
        <v>54.079999999999991</v>
      </c>
    </row>
    <row r="73" spans="1:16" outlineLevel="1" x14ac:dyDescent="0.3">
      <c r="A73" s="7" t="s">
        <v>29</v>
      </c>
      <c r="B73" s="8">
        <f>B71*(1-B60/SUM(B60:B62)*0.5)+B72</f>
        <v>154.98537634408601</v>
      </c>
      <c r="C73" s="8">
        <f t="shared" ref="B73:M73" si="23">C71*(1-C60/SUM(C60:C62)*0.5)+C72</f>
        <v>166.15130952380952</v>
      </c>
      <c r="D73" s="8">
        <f t="shared" si="23"/>
        <v>154.98537634408601</v>
      </c>
      <c r="E73" s="8">
        <f t="shared" si="23"/>
        <v>146.21061111111112</v>
      </c>
      <c r="F73" s="8">
        <f t="shared" si="23"/>
        <v>143.2386559139785</v>
      </c>
      <c r="G73" s="8">
        <f t="shared" si="23"/>
        <v>146.21061111111112</v>
      </c>
      <c r="H73" s="8">
        <f t="shared" si="23"/>
        <v>143.2386559139785</v>
      </c>
      <c r="I73" s="8">
        <f t="shared" si="23"/>
        <v>143.2386559139785</v>
      </c>
      <c r="J73" s="8">
        <f t="shared" si="23"/>
        <v>146.21061111111112</v>
      </c>
      <c r="K73" s="8">
        <f t="shared" si="23"/>
        <v>143.2386559139785</v>
      </c>
      <c r="L73" s="8">
        <f t="shared" si="23"/>
        <v>146.21061111111112</v>
      </c>
      <c r="M73" s="8">
        <f t="shared" si="23"/>
        <v>143.23865591397848</v>
      </c>
    </row>
    <row r="74" spans="1:16" ht="15" x14ac:dyDescent="0.25">
      <c r="A74" s="10"/>
      <c r="B74" s="1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P74" s="108"/>
    </row>
    <row r="75" spans="1:16" x14ac:dyDescent="0.3">
      <c r="A75" s="2" t="s">
        <v>21</v>
      </c>
      <c r="B75" s="6">
        <f>SUMPRODUCT(B66:B67,B60:B61)/SUM(B60:B61)/0.9075</f>
        <v>224.76288307200002</v>
      </c>
      <c r="C75" s="6">
        <f t="shared" ref="C75:J75" si="24">SUMPRODUCT(C66:C67,C60:C61)/SUM(C60:C61)/0.9075</f>
        <v>224.76288307200002</v>
      </c>
      <c r="D75" s="6">
        <f t="shared" si="24"/>
        <v>224.76288307200002</v>
      </c>
      <c r="E75" s="6">
        <f t="shared" si="24"/>
        <v>224.76288307200002</v>
      </c>
      <c r="F75" s="6">
        <f t="shared" si="24"/>
        <v>224.76288307200002</v>
      </c>
      <c r="G75" s="6">
        <f t="shared" si="24"/>
        <v>224.76288307200002</v>
      </c>
      <c r="H75" s="6">
        <f t="shared" si="24"/>
        <v>224.76288307200002</v>
      </c>
      <c r="I75" s="6">
        <f t="shared" si="24"/>
        <v>224.76288307200002</v>
      </c>
      <c r="J75" s="6">
        <f t="shared" si="24"/>
        <v>224.76288307200002</v>
      </c>
      <c r="K75" s="6">
        <f t="shared" ref="K75:M75" si="25">SUMPRODUCT(K66:K67,K60:K61)/SUM(K60:K61)/0.9075</f>
        <v>224.76288307200002</v>
      </c>
      <c r="L75" s="6">
        <f t="shared" si="25"/>
        <v>224.76288307200002</v>
      </c>
      <c r="M75" s="6">
        <f t="shared" si="25"/>
        <v>224.76288307200002</v>
      </c>
    </row>
    <row r="76" spans="1:16" x14ac:dyDescent="0.3">
      <c r="A76" s="2" t="s">
        <v>126</v>
      </c>
      <c r="B76" s="2">
        <f>'Curva de Preços SPOT'!B9</f>
        <v>175.43</v>
      </c>
      <c r="C76" s="2">
        <f>'Curva de Preços SPOT'!C9</f>
        <v>175.43</v>
      </c>
      <c r="D76" s="2">
        <f>'Curva de Preços SPOT'!D9</f>
        <v>175.43</v>
      </c>
      <c r="E76" s="2">
        <f>'Curva de Preços SPOT'!E9</f>
        <v>175.43</v>
      </c>
      <c r="F76" s="2">
        <f>'Curva de Preços SPOT'!F9</f>
        <v>175.43</v>
      </c>
      <c r="G76" s="2">
        <f>'Curva de Preços SPOT'!G9</f>
        <v>175.43</v>
      </c>
      <c r="H76" s="2">
        <f>'Curva de Preços SPOT'!H9</f>
        <v>175.43</v>
      </c>
      <c r="I76" s="2">
        <f>'Curva de Preços SPOT'!I9</f>
        <v>175.43</v>
      </c>
      <c r="J76" s="2">
        <f>'Curva de Preços SPOT'!J9</f>
        <v>175.43</v>
      </c>
      <c r="K76" s="2">
        <f>'Curva de Preços SPOT'!K9</f>
        <v>175.43</v>
      </c>
      <c r="L76" s="2">
        <f>'Curva de Preços SPOT'!L9</f>
        <v>175.43</v>
      </c>
      <c r="M76" s="2">
        <f>'Curva de Preços SPOT'!M9</f>
        <v>175.43</v>
      </c>
    </row>
    <row r="77" spans="1:16" x14ac:dyDescent="0.3">
      <c r="A77" s="2" t="s">
        <v>22</v>
      </c>
      <c r="B77" s="6">
        <f>B76*0.9075+B73</f>
        <v>314.18810134408602</v>
      </c>
      <c r="C77" s="6">
        <f t="shared" ref="C77:M77" si="26">C76*0.9075+C73</f>
        <v>325.35403452380956</v>
      </c>
      <c r="D77" s="6">
        <f t="shared" si="26"/>
        <v>314.18810134408602</v>
      </c>
      <c r="E77" s="6">
        <f t="shared" si="26"/>
        <v>305.41333611111111</v>
      </c>
      <c r="F77" s="6">
        <f t="shared" si="26"/>
        <v>302.44138091397849</v>
      </c>
      <c r="G77" s="6">
        <f t="shared" si="26"/>
        <v>305.41333611111111</v>
      </c>
      <c r="H77" s="6">
        <f t="shared" si="26"/>
        <v>302.44138091397849</v>
      </c>
      <c r="I77" s="6">
        <f t="shared" si="26"/>
        <v>302.44138091397849</v>
      </c>
      <c r="J77" s="6">
        <f t="shared" si="26"/>
        <v>305.41333611111111</v>
      </c>
      <c r="K77" s="6">
        <f t="shared" si="26"/>
        <v>302.44138091397849</v>
      </c>
      <c r="L77" s="6">
        <f t="shared" si="26"/>
        <v>305.41333611111111</v>
      </c>
      <c r="M77" s="6">
        <f t="shared" si="26"/>
        <v>302.44138091397849</v>
      </c>
    </row>
    <row r="78" spans="1:16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6" ht="15" x14ac:dyDescent="0.25">
      <c r="A79" s="56" t="s">
        <v>31</v>
      </c>
      <c r="B79" s="2"/>
      <c r="C79" s="2"/>
      <c r="D79" s="2"/>
      <c r="E79" s="2"/>
      <c r="F79" s="2"/>
      <c r="G79" s="2"/>
      <c r="H79" s="2"/>
      <c r="I79" s="2"/>
      <c r="J79" s="2"/>
    </row>
    <row r="80" spans="1:16" x14ac:dyDescent="0.3">
      <c r="A80" s="2" t="s">
        <v>134</v>
      </c>
      <c r="B80" s="2"/>
      <c r="C80" s="2"/>
      <c r="D80" s="2"/>
      <c r="E80" s="2"/>
      <c r="F80" s="2"/>
      <c r="G80" s="2"/>
      <c r="H80" s="2"/>
      <c r="I80" s="2"/>
      <c r="J80" s="2"/>
    </row>
    <row r="81" spans="1:10" ht="15" x14ac:dyDescent="0.25"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3">
      <c r="A82" s="2" t="s">
        <v>135</v>
      </c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3">
      <c r="A83" s="2" t="s">
        <v>136</v>
      </c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3">
      <c r="A84" s="2" t="s">
        <v>137</v>
      </c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">
      <c r="A85" s="2" t="s">
        <v>138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35"/>
  <sheetViews>
    <sheetView workbookViewId="0">
      <selection activeCell="D10" sqref="D10"/>
    </sheetView>
  </sheetViews>
  <sheetFormatPr defaultRowHeight="14.4" x14ac:dyDescent="0.3"/>
  <cols>
    <col min="2" max="2" width="10.5546875" bestFit="1" customWidth="1"/>
    <col min="3" max="3" width="20.88671875" bestFit="1" customWidth="1"/>
  </cols>
  <sheetData>
    <row r="2" spans="2:15" ht="21" x14ac:dyDescent="0.35">
      <c r="B2" s="174" t="s">
        <v>35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</row>
    <row r="3" spans="2:15" ht="21" x14ac:dyDescent="0.35">
      <c r="B3" s="55"/>
    </row>
    <row r="4" spans="2:15" ht="15" x14ac:dyDescent="0.25">
      <c r="B4" s="48"/>
      <c r="C4" s="103" t="s">
        <v>32</v>
      </c>
      <c r="D4" s="50" t="s">
        <v>83</v>
      </c>
      <c r="E4" s="49" t="s">
        <v>84</v>
      </c>
      <c r="F4" s="49" t="s">
        <v>85</v>
      </c>
      <c r="G4" s="49" t="s">
        <v>36</v>
      </c>
      <c r="H4" s="49" t="s">
        <v>37</v>
      </c>
      <c r="I4" s="49" t="s">
        <v>38</v>
      </c>
      <c r="J4" s="49" t="s">
        <v>39</v>
      </c>
      <c r="K4" s="49" t="s">
        <v>40</v>
      </c>
      <c r="L4" s="49" t="s">
        <v>41</v>
      </c>
      <c r="M4" s="49" t="s">
        <v>42</v>
      </c>
      <c r="N4" s="49" t="s">
        <v>43</v>
      </c>
      <c r="O4" s="49" t="s">
        <v>44</v>
      </c>
    </row>
    <row r="5" spans="2:15" x14ac:dyDescent="0.3">
      <c r="B5" s="178" t="s">
        <v>20</v>
      </c>
      <c r="C5" s="104" t="s">
        <v>2</v>
      </c>
      <c r="D5" s="101">
        <f>'Memória de Cálculo'!B7</f>
        <v>55</v>
      </c>
      <c r="E5" s="101">
        <f>'Memória de Cálculo'!C7</f>
        <v>55</v>
      </c>
      <c r="F5" s="101">
        <f>'Memória de Cálculo'!D7</f>
        <v>55</v>
      </c>
      <c r="G5" s="101">
        <f>'Memória de Cálculo'!E7</f>
        <v>55</v>
      </c>
      <c r="H5" s="101">
        <f>'Memória de Cálculo'!F7</f>
        <v>55</v>
      </c>
      <c r="I5" s="101">
        <f>'Memória de Cálculo'!G7</f>
        <v>55</v>
      </c>
      <c r="J5" s="101">
        <f>'Memória de Cálculo'!H7</f>
        <v>55</v>
      </c>
      <c r="K5" s="101">
        <f>'Memória de Cálculo'!I7</f>
        <v>55</v>
      </c>
      <c r="L5" s="101">
        <f>'Memória de Cálculo'!J7</f>
        <v>55</v>
      </c>
      <c r="M5" s="101">
        <f>'Memória de Cálculo'!K7</f>
        <v>55</v>
      </c>
      <c r="N5" s="101">
        <f>'Memória de Cálculo'!L7</f>
        <v>55</v>
      </c>
      <c r="O5" s="101">
        <f>'Memória de Cálculo'!M7</f>
        <v>55</v>
      </c>
    </row>
    <row r="6" spans="2:15" x14ac:dyDescent="0.3">
      <c r="B6" s="179"/>
      <c r="C6" s="105" t="s">
        <v>49</v>
      </c>
      <c r="D6" s="101">
        <f>D5*0.97</f>
        <v>53.35</v>
      </c>
      <c r="E6" s="101">
        <f t="shared" ref="E6:L6" si="0">E5*0.97</f>
        <v>53.35</v>
      </c>
      <c r="F6" s="101">
        <f t="shared" si="0"/>
        <v>53.35</v>
      </c>
      <c r="G6" s="101">
        <f t="shared" si="0"/>
        <v>53.35</v>
      </c>
      <c r="H6" s="101">
        <f t="shared" si="0"/>
        <v>53.35</v>
      </c>
      <c r="I6" s="101">
        <f t="shared" si="0"/>
        <v>53.35</v>
      </c>
      <c r="J6" s="101">
        <f t="shared" si="0"/>
        <v>53.35</v>
      </c>
      <c r="K6" s="101">
        <f t="shared" si="0"/>
        <v>53.35</v>
      </c>
      <c r="L6" s="101">
        <f t="shared" si="0"/>
        <v>53.35</v>
      </c>
      <c r="M6" s="101">
        <f>M5*0.97</f>
        <v>53.35</v>
      </c>
      <c r="N6" s="101">
        <f t="shared" ref="N6:O6" si="1">N5*0.97</f>
        <v>53.35</v>
      </c>
      <c r="O6" s="101">
        <f t="shared" si="1"/>
        <v>53.35</v>
      </c>
    </row>
    <row r="7" spans="2:15" ht="15" thickBot="1" x14ac:dyDescent="0.35">
      <c r="B7" s="179"/>
      <c r="C7" s="106" t="s">
        <v>50</v>
      </c>
      <c r="D7" s="41">
        <f>D6*(1-'Energia Aux - Met'!$T$71)</f>
        <v>50.724246242192585</v>
      </c>
      <c r="E7" s="41">
        <f>E6*(1-'Energia Aux - Met'!$T$71)</f>
        <v>50.724246242192585</v>
      </c>
      <c r="F7" s="41">
        <f>F6*(1-'Energia Aux - Met'!$T$71)</f>
        <v>50.724246242192585</v>
      </c>
      <c r="G7" s="41">
        <f>G6*(1-'Energia Aux - Met'!$T$71)</f>
        <v>50.724246242192585</v>
      </c>
      <c r="H7" s="41">
        <f>H6*(1-'Energia Aux - Met'!$T$71)</f>
        <v>50.724246242192585</v>
      </c>
      <c r="I7" s="41">
        <f>I6*(1-'Energia Aux - Met'!$T$71)</f>
        <v>50.724246242192585</v>
      </c>
      <c r="J7" s="41">
        <f>J6*(1-'Energia Aux - Met'!$T$71)</f>
        <v>50.724246242192585</v>
      </c>
      <c r="K7" s="41">
        <f>K6*(1-'Energia Aux - Met'!$T$71)</f>
        <v>50.724246242192585</v>
      </c>
      <c r="L7" s="41">
        <f>L6*(1-'Energia Aux - Met'!$T$71)</f>
        <v>50.724246242192585</v>
      </c>
      <c r="M7" s="41">
        <f>M6*(1-'Energia Aux - Met'!$T$71)</f>
        <v>50.724246242192585</v>
      </c>
      <c r="N7" s="41">
        <f>N6*(1-'Energia Aux - Met'!$T$71)</f>
        <v>50.724246242192585</v>
      </c>
      <c r="O7" s="41">
        <f>O6*(1-'Energia Aux - Met'!$T$71)</f>
        <v>50.724246242192585</v>
      </c>
    </row>
    <row r="8" spans="2:15" ht="15" thickTop="1" x14ac:dyDescent="0.3">
      <c r="B8" s="179"/>
      <c r="C8" s="105" t="s">
        <v>33</v>
      </c>
      <c r="D8" s="101">
        <f>'Memória de Cálculo'!B8+'Memória de Cálculo'!B9+'Memória de Cálculo'!B10+'Memória de Cálculo'!B11</f>
        <v>143.9187</v>
      </c>
      <c r="E8" s="101">
        <f>'Memória de Cálculo'!C8+'Memória de Cálculo'!C9+'Memória de Cálculo'!C10+'Memória de Cálculo'!C11</f>
        <v>143.9187</v>
      </c>
      <c r="F8" s="101">
        <f>'Memória de Cálculo'!D8+'Memória de Cálculo'!D9+'Memória de Cálculo'!D10+'Memória de Cálculo'!D11</f>
        <v>143.9187</v>
      </c>
      <c r="G8" s="101">
        <f>'Memória de Cálculo'!E8+'Memória de Cálculo'!E9+'Memória de Cálculo'!E10+'Memória de Cálculo'!E11</f>
        <v>143.9187</v>
      </c>
      <c r="H8" s="101">
        <f>'Memória de Cálculo'!F8+'Memória de Cálculo'!F9+'Memória de Cálculo'!F10+'Memória de Cálculo'!F11</f>
        <v>143.9187</v>
      </c>
      <c r="I8" s="101">
        <f>'Memória de Cálculo'!G8+'Memória de Cálculo'!G9+'Memória de Cálculo'!G10+'Memória de Cálculo'!G11</f>
        <v>143.9187</v>
      </c>
      <c r="J8" s="101">
        <f>'Memória de Cálculo'!H8+'Memória de Cálculo'!H9+'Memória de Cálculo'!H10+'Memória de Cálculo'!H11</f>
        <v>143.9187</v>
      </c>
      <c r="K8" s="101">
        <f>'Memória de Cálculo'!I8+'Memória de Cálculo'!I9+'Memória de Cálculo'!I10+'Memória de Cálculo'!I11</f>
        <v>143.9187</v>
      </c>
      <c r="L8" s="101">
        <f>'Memória de Cálculo'!J8+'Memória de Cálculo'!J9+'Memória de Cálculo'!J10+'Memória de Cálculo'!J11</f>
        <v>143.9187</v>
      </c>
      <c r="M8" s="101">
        <f>'Memória de Cálculo'!K8+'Memória de Cálculo'!K9+'Memória de Cálculo'!K10+'Memória de Cálculo'!K11</f>
        <v>143.9187</v>
      </c>
      <c r="N8" s="101">
        <f>'Memória de Cálculo'!L8+'Memória de Cálculo'!L9+'Memória de Cálculo'!L10+'Memória de Cálculo'!L11</f>
        <v>143.9187</v>
      </c>
      <c r="O8" s="101">
        <f>'Memória de Cálculo'!M8+'Memória de Cálculo'!M9+'Memória de Cálculo'!M10+'Memória de Cálculo'!M11</f>
        <v>143.9187</v>
      </c>
    </row>
    <row r="9" spans="2:15" x14ac:dyDescent="0.3">
      <c r="B9" s="179"/>
      <c r="C9" s="105" t="s">
        <v>49</v>
      </c>
      <c r="D9" s="101">
        <f>D8*0.97</f>
        <v>139.60113899999999</v>
      </c>
      <c r="E9" s="101">
        <f t="shared" ref="E9:L9" si="2">E8*0.97</f>
        <v>139.60113899999999</v>
      </c>
      <c r="F9" s="101">
        <f t="shared" si="2"/>
        <v>139.60113899999999</v>
      </c>
      <c r="G9" s="101">
        <f t="shared" si="2"/>
        <v>139.60113899999999</v>
      </c>
      <c r="H9" s="101">
        <f t="shared" si="2"/>
        <v>139.60113899999999</v>
      </c>
      <c r="I9" s="101">
        <f t="shared" si="2"/>
        <v>139.60113899999999</v>
      </c>
      <c r="J9" s="101">
        <f t="shared" si="2"/>
        <v>139.60113899999999</v>
      </c>
      <c r="K9" s="101">
        <f t="shared" si="2"/>
        <v>139.60113899999999</v>
      </c>
      <c r="L9" s="101">
        <f t="shared" si="2"/>
        <v>139.60113899999999</v>
      </c>
      <c r="M9" s="101">
        <f>M8*0.97</f>
        <v>139.60113899999999</v>
      </c>
      <c r="N9" s="101">
        <f t="shared" ref="N9:O9" si="3">N8*0.97</f>
        <v>139.60113899999999</v>
      </c>
      <c r="O9" s="101">
        <f t="shared" si="3"/>
        <v>139.60113899999999</v>
      </c>
    </row>
    <row r="10" spans="2:15" ht="15" thickBot="1" x14ac:dyDescent="0.35">
      <c r="B10" s="179"/>
      <c r="C10" s="106" t="s">
        <v>50</v>
      </c>
      <c r="D10" s="101">
        <f>D9*(1-'Energia Aux - Met'!$T$71)</f>
        <v>132.73031959374984</v>
      </c>
      <c r="E10" s="101">
        <f>E9*(1-'Energia Aux - Met'!$T$71)</f>
        <v>132.73031959374984</v>
      </c>
      <c r="F10" s="101">
        <f>F9*(1-'Energia Aux - Met'!$T$71)</f>
        <v>132.73031959374984</v>
      </c>
      <c r="G10" s="101">
        <f>G9*(1-'Energia Aux - Met'!$T$71)</f>
        <v>132.73031959374984</v>
      </c>
      <c r="H10" s="101">
        <f>H9*(1-'Energia Aux - Met'!$T$71)</f>
        <v>132.73031959374984</v>
      </c>
      <c r="I10" s="101">
        <f>I9*(1-'Energia Aux - Met'!$T$71)</f>
        <v>132.73031959374984</v>
      </c>
      <c r="J10" s="101">
        <f>J9*(1-'Energia Aux - Met'!$T$71)</f>
        <v>132.73031959374984</v>
      </c>
      <c r="K10" s="101">
        <f>K9*(1-'Energia Aux - Met'!$T$71)</f>
        <v>132.73031959374984</v>
      </c>
      <c r="L10" s="101">
        <f>L9*(1-'Energia Aux - Met'!$T$71)</f>
        <v>132.73031959374984</v>
      </c>
      <c r="M10" s="101">
        <f>M9*(1-'Energia Aux - Met'!$T$71)</f>
        <v>132.73031959374984</v>
      </c>
      <c r="N10" s="101">
        <f>N9*(1-'Energia Aux - Met'!$T$71)</f>
        <v>132.73031959374984</v>
      </c>
      <c r="O10" s="101">
        <f>O9*(1-'Energia Aux - Met'!$T$71)</f>
        <v>132.73031959374984</v>
      </c>
    </row>
    <row r="11" spans="2:15" ht="15.75" thickTop="1" x14ac:dyDescent="0.25">
      <c r="B11" s="42"/>
      <c r="C11" s="42"/>
      <c r="D11" s="5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2:15" x14ac:dyDescent="0.3">
      <c r="B12" s="177" t="s">
        <v>45</v>
      </c>
      <c r="C12" s="44" t="s">
        <v>46</v>
      </c>
      <c r="D12" s="51">
        <f>('Memória de Cálculo'!B55)</f>
        <v>0</v>
      </c>
      <c r="E12" s="6">
        <f>('Memória de Cálculo'!C55)</f>
        <v>0</v>
      </c>
      <c r="F12" s="6">
        <f>('Memória de Cálculo'!D55)</f>
        <v>0</v>
      </c>
      <c r="G12" s="6">
        <f>('Memória de Cálculo'!E55)</f>
        <v>0</v>
      </c>
      <c r="H12" s="6">
        <f>('Memória de Cálculo'!F55)</f>
        <v>0</v>
      </c>
      <c r="I12" s="6">
        <f>('Memória de Cálculo'!G55)</f>
        <v>0</v>
      </c>
      <c r="J12" s="6">
        <f>('Memória de Cálculo'!H55)</f>
        <v>0</v>
      </c>
      <c r="K12" s="6">
        <f>('Memória de Cálculo'!I55)</f>
        <v>0</v>
      </c>
      <c r="L12" s="6">
        <f>('Memória de Cálculo'!J55)</f>
        <v>0</v>
      </c>
      <c r="M12" s="6">
        <f>('Memória de Cálculo'!K55)</f>
        <v>0</v>
      </c>
      <c r="N12" s="6">
        <f>('Memória de Cálculo'!L55)</f>
        <v>0</v>
      </c>
      <c r="O12" s="6">
        <f>('Memória de Cálculo'!M55)</f>
        <v>0</v>
      </c>
    </row>
    <row r="13" spans="2:15" x14ac:dyDescent="0.3">
      <c r="B13" s="177"/>
      <c r="C13" s="44" t="s">
        <v>26</v>
      </c>
      <c r="D13" s="51">
        <f>('Memória de Cálculo'!B56)</f>
        <v>5</v>
      </c>
      <c r="E13" s="6">
        <f>('Memória de Cálculo'!C56)</f>
        <v>5</v>
      </c>
      <c r="F13" s="6">
        <f>('Memória de Cálculo'!D56)</f>
        <v>5</v>
      </c>
      <c r="G13" s="6">
        <f>('Memória de Cálculo'!E56)</f>
        <v>5</v>
      </c>
      <c r="H13" s="6">
        <f>('Memória de Cálculo'!F56)</f>
        <v>5</v>
      </c>
      <c r="I13" s="6">
        <f>('Memória de Cálculo'!G56)</f>
        <v>5</v>
      </c>
      <c r="J13" s="6">
        <f>('Memória de Cálculo'!H56)</f>
        <v>5</v>
      </c>
      <c r="K13" s="6">
        <f>('Memória de Cálculo'!I56)</f>
        <v>5</v>
      </c>
      <c r="L13" s="6">
        <f>('Memória de Cálculo'!J56)</f>
        <v>5</v>
      </c>
      <c r="M13" s="6">
        <f>('Memória de Cálculo'!K56)</f>
        <v>5</v>
      </c>
      <c r="N13" s="6">
        <f>('Memória de Cálculo'!L56)</f>
        <v>5</v>
      </c>
      <c r="O13" s="6">
        <f>('Memória de Cálculo'!M56)</f>
        <v>5</v>
      </c>
    </row>
    <row r="14" spans="2:15" x14ac:dyDescent="0.3">
      <c r="B14" s="177"/>
      <c r="C14" s="44" t="s">
        <v>47</v>
      </c>
      <c r="D14" s="51">
        <f>('Memória de Cálculo'!B57)</f>
        <v>9.6500000000000002E-2</v>
      </c>
      <c r="E14" s="6">
        <f>('Memória de Cálculo'!C57)</f>
        <v>9.6500000000000002E-2</v>
      </c>
      <c r="F14" s="6">
        <f>('Memória de Cálculo'!D57)</f>
        <v>9.6500000000000002E-2</v>
      </c>
      <c r="G14" s="6">
        <f>('Memória de Cálculo'!E57)</f>
        <v>9.6500000000000002E-2</v>
      </c>
      <c r="H14" s="6">
        <f>('Memória de Cálculo'!F57)</f>
        <v>9.6500000000000002E-2</v>
      </c>
      <c r="I14" s="6">
        <f>('Memória de Cálculo'!G57)</f>
        <v>9.6500000000000002E-2</v>
      </c>
      <c r="J14" s="6">
        <f>('Memória de Cálculo'!H57)</f>
        <v>9.6500000000000002E-2</v>
      </c>
      <c r="K14" s="6">
        <f>('Memória de Cálculo'!I57)</f>
        <v>9.6500000000000002E-2</v>
      </c>
      <c r="L14" s="6">
        <f>('Memória de Cálculo'!J57)</f>
        <v>9.6500000000000002E-2</v>
      </c>
      <c r="M14" s="6">
        <f>('Memória de Cálculo'!K57)</f>
        <v>9.6500000000000002E-2</v>
      </c>
      <c r="N14" s="6">
        <f>('Memória de Cálculo'!L57)</f>
        <v>9.6500000000000002E-2</v>
      </c>
      <c r="O14" s="6">
        <f>('Memória de Cálculo'!M57)</f>
        <v>9.6500000000000002E-2</v>
      </c>
    </row>
    <row r="15" spans="2:15" x14ac:dyDescent="0.3">
      <c r="B15" s="177"/>
      <c r="C15" s="46" t="s">
        <v>48</v>
      </c>
      <c r="D15" s="54">
        <f>SUM(D12:D14)</f>
        <v>5.0964999999999998</v>
      </c>
      <c r="E15" s="14">
        <f t="shared" ref="E15:L15" si="4">SUM(E12:E14)</f>
        <v>5.0964999999999998</v>
      </c>
      <c r="F15" s="14">
        <f t="shared" si="4"/>
        <v>5.0964999999999998</v>
      </c>
      <c r="G15" s="14">
        <f t="shared" si="4"/>
        <v>5.0964999999999998</v>
      </c>
      <c r="H15" s="14">
        <f t="shared" si="4"/>
        <v>5.0964999999999998</v>
      </c>
      <c r="I15" s="14">
        <f t="shared" si="4"/>
        <v>5.0964999999999998</v>
      </c>
      <c r="J15" s="14">
        <f t="shared" si="4"/>
        <v>5.0964999999999998</v>
      </c>
      <c r="K15" s="14">
        <f t="shared" si="4"/>
        <v>5.0964999999999998</v>
      </c>
      <c r="L15" s="14">
        <f t="shared" si="4"/>
        <v>5.0964999999999998</v>
      </c>
      <c r="M15" s="14">
        <f t="shared" ref="M15:O15" si="5">SUM(M12:M14)</f>
        <v>5.0964999999999998</v>
      </c>
      <c r="N15" s="14">
        <f t="shared" si="5"/>
        <v>5.0964999999999998</v>
      </c>
      <c r="O15" s="14">
        <f t="shared" si="5"/>
        <v>5.0964999999999998</v>
      </c>
    </row>
    <row r="16" spans="2:15" x14ac:dyDescent="0.3">
      <c r="B16" s="177"/>
      <c r="C16" s="105" t="s">
        <v>49</v>
      </c>
      <c r="D16" s="101">
        <f>D15*0.97</f>
        <v>4.9436049999999998</v>
      </c>
      <c r="E16" s="6">
        <f t="shared" ref="E16:L16" si="6">E15*0.97</f>
        <v>4.9436049999999998</v>
      </c>
      <c r="F16" s="6">
        <f t="shared" si="6"/>
        <v>4.9436049999999998</v>
      </c>
      <c r="G16" s="6">
        <f t="shared" si="6"/>
        <v>4.9436049999999998</v>
      </c>
      <c r="H16" s="6">
        <f t="shared" si="6"/>
        <v>4.9436049999999998</v>
      </c>
      <c r="I16" s="6">
        <f t="shared" si="6"/>
        <v>4.9436049999999998</v>
      </c>
      <c r="J16" s="6">
        <f t="shared" si="6"/>
        <v>4.9436049999999998</v>
      </c>
      <c r="K16" s="6">
        <f t="shared" si="6"/>
        <v>4.9436049999999998</v>
      </c>
      <c r="L16" s="6">
        <f t="shared" si="6"/>
        <v>4.9436049999999998</v>
      </c>
      <c r="M16" s="6">
        <f t="shared" ref="M16:O16" si="7">M15*0.97</f>
        <v>4.9436049999999998</v>
      </c>
      <c r="N16" s="6">
        <f t="shared" si="7"/>
        <v>4.9436049999999998</v>
      </c>
      <c r="O16" s="6">
        <f t="shared" si="7"/>
        <v>4.9436049999999998</v>
      </c>
    </row>
    <row r="17" spans="2:15" ht="15" thickBot="1" x14ac:dyDescent="0.35">
      <c r="B17" s="176"/>
      <c r="C17" s="106" t="s">
        <v>50</v>
      </c>
      <c r="D17" s="52">
        <f>D16*(1-'Energia Aux - Met'!$T$71)</f>
        <v>4.7002931086060817</v>
      </c>
      <c r="E17" s="41">
        <f>E16*(1-'Energia Aux - Met'!$T$71)</f>
        <v>4.7002931086060817</v>
      </c>
      <c r="F17" s="41">
        <f>F16*(1-'Energia Aux - Met'!$T$71)</f>
        <v>4.7002931086060817</v>
      </c>
      <c r="G17" s="41">
        <f>G16*(1-'Energia Aux - Met'!$T$71)</f>
        <v>4.7002931086060817</v>
      </c>
      <c r="H17" s="41">
        <f>H16*(1-'Energia Aux - Met'!$T$71)</f>
        <v>4.7002931086060817</v>
      </c>
      <c r="I17" s="41">
        <f>I16*(1-'Energia Aux - Met'!$T$71)</f>
        <v>4.7002931086060817</v>
      </c>
      <c r="J17" s="41">
        <f>J16*(1-'Energia Aux - Met'!$T$71)</f>
        <v>4.7002931086060817</v>
      </c>
      <c r="K17" s="41">
        <f>K16*(1-'Energia Aux - Met'!$T$71)</f>
        <v>4.7002931086060817</v>
      </c>
      <c r="L17" s="41">
        <f>L16*(1-'Energia Aux - Met'!$T$71)</f>
        <v>4.7002931086060817</v>
      </c>
      <c r="M17" s="41">
        <f>M16*(1-'Energia Aux - Met'!$T$71)</f>
        <v>4.7002931086060817</v>
      </c>
      <c r="N17" s="41">
        <f>N16*(1-'Energia Aux - Met'!$T$71)</f>
        <v>4.7002931086060817</v>
      </c>
      <c r="O17" s="41">
        <f>O16*(1-'Energia Aux - Met'!$T$71)</f>
        <v>4.7002931086060817</v>
      </c>
    </row>
    <row r="18" spans="2:15" ht="15.75" thickTop="1" x14ac:dyDescent="0.25">
      <c r="B18" s="12"/>
    </row>
    <row r="20" spans="2:15" ht="15" x14ac:dyDescent="0.25">
      <c r="B20" s="48"/>
      <c r="C20" s="48" t="s">
        <v>34</v>
      </c>
      <c r="D20" s="102" t="s">
        <v>83</v>
      </c>
      <c r="E20" s="102" t="s">
        <v>84</v>
      </c>
      <c r="F20" s="102" t="s">
        <v>85</v>
      </c>
      <c r="G20" s="102" t="s">
        <v>36</v>
      </c>
      <c r="H20" s="102" t="s">
        <v>37</v>
      </c>
      <c r="I20" s="102" t="s">
        <v>38</v>
      </c>
      <c r="J20" s="102" t="s">
        <v>39</v>
      </c>
      <c r="K20" s="102" t="s">
        <v>40</v>
      </c>
      <c r="L20" s="102" t="s">
        <v>41</v>
      </c>
      <c r="M20" s="102" t="s">
        <v>42</v>
      </c>
      <c r="N20" s="102" t="s">
        <v>43</v>
      </c>
      <c r="O20" s="102" t="s">
        <v>44</v>
      </c>
    </row>
    <row r="21" spans="2:15" x14ac:dyDescent="0.3">
      <c r="B21" s="175" t="s">
        <v>20</v>
      </c>
      <c r="C21" s="43" t="s">
        <v>2</v>
      </c>
      <c r="D21" s="7">
        <f>'Memória de Cálculo'!B7</f>
        <v>55</v>
      </c>
      <c r="E21" s="7">
        <f>'Memória de Cálculo'!C7</f>
        <v>55</v>
      </c>
      <c r="F21" s="7">
        <f>'Memória de Cálculo'!D7</f>
        <v>55</v>
      </c>
      <c r="G21" s="7">
        <f>'Memória de Cálculo'!E7</f>
        <v>55</v>
      </c>
      <c r="H21" s="7">
        <f>'Memória de Cálculo'!F7</f>
        <v>55</v>
      </c>
      <c r="I21" s="7">
        <f>'Memória de Cálculo'!G7</f>
        <v>55</v>
      </c>
      <c r="J21" s="7">
        <f>'Memória de Cálculo'!H7</f>
        <v>55</v>
      </c>
      <c r="K21" s="7">
        <f>'Memória de Cálculo'!I7</f>
        <v>55</v>
      </c>
      <c r="L21" s="7">
        <f>'Memória de Cálculo'!J7</f>
        <v>55</v>
      </c>
      <c r="M21" s="7">
        <f>'Memória de Cálculo'!K7</f>
        <v>55</v>
      </c>
      <c r="N21" s="7">
        <f>'Memória de Cálculo'!L7</f>
        <v>55</v>
      </c>
      <c r="O21" s="7">
        <f>'Memória de Cálculo'!M7</f>
        <v>55</v>
      </c>
    </row>
    <row r="22" spans="2:15" ht="15" thickBot="1" x14ac:dyDescent="0.35">
      <c r="B22" s="176"/>
      <c r="C22" s="45" t="s">
        <v>33</v>
      </c>
      <c r="D22" s="40">
        <f>'Memória de Cálculo'!B8+'Memória de Cálculo'!B9</f>
        <v>105</v>
      </c>
      <c r="E22" s="40">
        <f>'Memória de Cálculo'!C8+'Memória de Cálculo'!C9</f>
        <v>105</v>
      </c>
      <c r="F22" s="40">
        <f>'Memória de Cálculo'!D8+'Memória de Cálculo'!D9</f>
        <v>105</v>
      </c>
      <c r="G22" s="40">
        <f>'Memória de Cálculo'!E8+'Memória de Cálculo'!E9</f>
        <v>105</v>
      </c>
      <c r="H22" s="40">
        <f>'Memória de Cálculo'!F8+'Memória de Cálculo'!F9</f>
        <v>105</v>
      </c>
      <c r="I22" s="40">
        <f>'Memória de Cálculo'!G8+'Memória de Cálculo'!G9</f>
        <v>105</v>
      </c>
      <c r="J22" s="40">
        <f>'Memória de Cálculo'!H8+'Memória de Cálculo'!H9</f>
        <v>105</v>
      </c>
      <c r="K22" s="40">
        <f>'Memória de Cálculo'!I8+'Memória de Cálculo'!I9</f>
        <v>105</v>
      </c>
      <c r="L22" s="40">
        <f>'Memória de Cálculo'!J8+'Memória de Cálculo'!J9</f>
        <v>105</v>
      </c>
      <c r="M22" s="40">
        <f>'Memória de Cálculo'!K8+'Memória de Cálculo'!K9</f>
        <v>105</v>
      </c>
      <c r="N22" s="40">
        <f>'Memória de Cálculo'!L8+'Memória de Cálculo'!L9</f>
        <v>105</v>
      </c>
      <c r="O22" s="40">
        <f>'Memória de Cálculo'!M8+'Memória de Cálculo'!M9</f>
        <v>105</v>
      </c>
    </row>
    <row r="23" spans="2:15" ht="15" thickTop="1" x14ac:dyDescent="0.3">
      <c r="B23" s="177" t="s">
        <v>45</v>
      </c>
      <c r="C23" s="44" t="s">
        <v>46</v>
      </c>
      <c r="D23" s="100">
        <f>'Memória de Cálculo'!B55</f>
        <v>0</v>
      </c>
      <c r="E23" s="100">
        <f>'Memória de Cálculo'!C55</f>
        <v>0</v>
      </c>
      <c r="F23" s="100">
        <f>'Memória de Cálculo'!D55</f>
        <v>0</v>
      </c>
      <c r="G23" s="100">
        <f>'Memória de Cálculo'!E55</f>
        <v>0</v>
      </c>
      <c r="H23" s="100">
        <f>'Memória de Cálculo'!F55</f>
        <v>0</v>
      </c>
      <c r="I23" s="100">
        <f>'Memória de Cálculo'!G55</f>
        <v>0</v>
      </c>
      <c r="J23" s="100">
        <f>'Memória de Cálculo'!H55</f>
        <v>0</v>
      </c>
      <c r="K23" s="100">
        <f>'Memória de Cálculo'!I55</f>
        <v>0</v>
      </c>
      <c r="L23" s="100">
        <f>'Memória de Cálculo'!J55</f>
        <v>0</v>
      </c>
      <c r="M23" s="100">
        <f>'Memória de Cálculo'!K55</f>
        <v>0</v>
      </c>
      <c r="N23" s="100">
        <f>'Memória de Cálculo'!L55</f>
        <v>0</v>
      </c>
      <c r="O23" s="100">
        <f>'Memória de Cálculo'!M55</f>
        <v>0</v>
      </c>
    </row>
    <row r="24" spans="2:15" ht="15" thickBot="1" x14ac:dyDescent="0.35">
      <c r="B24" s="176"/>
      <c r="C24" s="45" t="s">
        <v>26</v>
      </c>
      <c r="D24" s="40">
        <f>'Memória de Cálculo'!B56</f>
        <v>5</v>
      </c>
      <c r="E24" s="40">
        <f>'Memória de Cálculo'!C56</f>
        <v>5</v>
      </c>
      <c r="F24" s="40">
        <f>'Memória de Cálculo'!D56</f>
        <v>5</v>
      </c>
      <c r="G24" s="40">
        <f>'Memória de Cálculo'!E56</f>
        <v>5</v>
      </c>
      <c r="H24" s="40">
        <f>'Memória de Cálculo'!F56</f>
        <v>5</v>
      </c>
      <c r="I24" s="40">
        <f>'Memória de Cálculo'!G56</f>
        <v>5</v>
      </c>
      <c r="J24" s="40">
        <f>'Memória de Cálculo'!H56</f>
        <v>5</v>
      </c>
      <c r="K24" s="40">
        <f>'Memória de Cálculo'!I56</f>
        <v>5</v>
      </c>
      <c r="L24" s="40">
        <f>'Memória de Cálculo'!J56</f>
        <v>5</v>
      </c>
      <c r="M24" s="40">
        <f>'Memória de Cálculo'!K56</f>
        <v>5</v>
      </c>
      <c r="N24" s="40">
        <f>'Memória de Cálculo'!L56</f>
        <v>5</v>
      </c>
      <c r="O24" s="40">
        <f>'Memória de Cálculo'!M56</f>
        <v>5</v>
      </c>
    </row>
    <row r="25" spans="2:15" ht="15.75" thickTop="1" x14ac:dyDescent="0.25"/>
    <row r="28" spans="2:15" ht="15" x14ac:dyDescent="0.25">
      <c r="C28" s="172" t="s">
        <v>32</v>
      </c>
      <c r="D28" s="172" t="s">
        <v>127</v>
      </c>
      <c r="E28" s="172" t="s">
        <v>128</v>
      </c>
      <c r="F28" s="172" t="s">
        <v>129</v>
      </c>
      <c r="G28" s="172" t="s">
        <v>130</v>
      </c>
    </row>
    <row r="29" spans="2:15" ht="15" x14ac:dyDescent="0.25">
      <c r="C29" s="2" t="s">
        <v>132</v>
      </c>
      <c r="D29" s="6">
        <f>AVERAGE(D7:F7)</f>
        <v>50.724246242192585</v>
      </c>
      <c r="E29" s="6">
        <f>AVERAGE(G7:I7)</f>
        <v>50.724246242192585</v>
      </c>
      <c r="F29" s="6">
        <f>AVERAGE(J7:L7)</f>
        <v>50.724246242192585</v>
      </c>
      <c r="G29" s="6">
        <f>AVERAGE(M7:O7)</f>
        <v>50.724246242192585</v>
      </c>
    </row>
    <row r="30" spans="2:15" ht="15" x14ac:dyDescent="0.25">
      <c r="C30" s="2" t="s">
        <v>133</v>
      </c>
      <c r="D30" s="6">
        <f>AVERAGE(D10:F10)</f>
        <v>132.73031959374984</v>
      </c>
      <c r="E30" s="6">
        <f>AVERAGE(G10:I10)</f>
        <v>132.73031959374984</v>
      </c>
      <c r="F30" s="6">
        <f>AVERAGE(J10:L10)</f>
        <v>132.73031959374984</v>
      </c>
      <c r="G30" s="6">
        <f>AVERAGE(M10:O10)</f>
        <v>132.73031959374984</v>
      </c>
    </row>
    <row r="31" spans="2:15" ht="15" x14ac:dyDescent="0.25">
      <c r="C31" s="2" t="s">
        <v>45</v>
      </c>
      <c r="D31" s="6">
        <f>AVERAGE(D17:F17)</f>
        <v>4.7002931086060817</v>
      </c>
      <c r="E31" s="6">
        <f>AVERAGE(G17:I17)</f>
        <v>4.7002931086060817</v>
      </c>
      <c r="F31" s="6">
        <f>AVERAGE(J17:L17)</f>
        <v>4.7002931086060817</v>
      </c>
      <c r="G31" s="6">
        <f>AVERAGE(M17:O17)</f>
        <v>4.7002931086060817</v>
      </c>
    </row>
    <row r="32" spans="2:15" ht="15" x14ac:dyDescent="0.25">
      <c r="C32" s="172" t="s">
        <v>34</v>
      </c>
      <c r="D32" s="172" t="s">
        <v>127</v>
      </c>
      <c r="E32" s="172" t="s">
        <v>128</v>
      </c>
      <c r="F32" s="172" t="s">
        <v>129</v>
      </c>
      <c r="G32" s="172" t="s">
        <v>130</v>
      </c>
    </row>
    <row r="33" spans="3:7" ht="15" x14ac:dyDescent="0.25">
      <c r="C33" s="2" t="s">
        <v>20</v>
      </c>
      <c r="D33" s="6">
        <f>D5+D8</f>
        <v>198.9187</v>
      </c>
      <c r="E33" s="6">
        <f t="shared" ref="E33:G33" si="8">E5+E8</f>
        <v>198.9187</v>
      </c>
      <c r="F33" s="6">
        <f t="shared" si="8"/>
        <v>198.9187</v>
      </c>
      <c r="G33" s="6">
        <f t="shared" si="8"/>
        <v>198.9187</v>
      </c>
    </row>
    <row r="34" spans="3:7" ht="15.75" thickBot="1" x14ac:dyDescent="0.3">
      <c r="C34" s="40" t="s">
        <v>45</v>
      </c>
      <c r="D34" s="41">
        <f>D13</f>
        <v>5</v>
      </c>
      <c r="E34" s="41">
        <f t="shared" ref="E34:G34" si="9">E13</f>
        <v>5</v>
      </c>
      <c r="F34" s="41">
        <f t="shared" si="9"/>
        <v>5</v>
      </c>
      <c r="G34" s="41">
        <f t="shared" si="9"/>
        <v>5</v>
      </c>
    </row>
    <row r="35" spans="3:7" ht="15.75" thickTop="1" x14ac:dyDescent="0.25"/>
  </sheetData>
  <mergeCells count="5">
    <mergeCell ref="B2:L2"/>
    <mergeCell ref="B21:B22"/>
    <mergeCell ref="B23:B24"/>
    <mergeCell ref="B5:B10"/>
    <mergeCell ref="B12:B17"/>
  </mergeCells>
  <phoneticPr fontId="4" type="noConversion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5"/>
  <sheetViews>
    <sheetView topLeftCell="A7" workbookViewId="0">
      <selection activeCell="C40" sqref="C40"/>
    </sheetView>
  </sheetViews>
  <sheetFormatPr defaultRowHeight="14.4" x14ac:dyDescent="0.3"/>
  <cols>
    <col min="2" max="2" width="40.33203125" bestFit="1" customWidth="1"/>
    <col min="3" max="14" width="11.5546875" bestFit="1" customWidth="1"/>
    <col min="15" max="15" width="9.5546875" bestFit="1" customWidth="1"/>
  </cols>
  <sheetData>
    <row r="2" spans="1:15" ht="18" x14ac:dyDescent="0.35">
      <c r="B2" s="57" t="s">
        <v>73</v>
      </c>
      <c r="C2" s="58">
        <v>744</v>
      </c>
      <c r="D2" s="58">
        <f>28*24</f>
        <v>672</v>
      </c>
      <c r="E2" s="58">
        <v>744</v>
      </c>
      <c r="F2" s="58">
        <v>720</v>
      </c>
      <c r="G2" s="58">
        <v>744</v>
      </c>
      <c r="H2" s="58">
        <v>720</v>
      </c>
      <c r="I2" s="58">
        <v>744</v>
      </c>
      <c r="J2" s="58">
        <v>744</v>
      </c>
      <c r="K2" s="58">
        <v>720</v>
      </c>
      <c r="L2" s="58">
        <v>744</v>
      </c>
      <c r="M2" s="58">
        <v>720</v>
      </c>
      <c r="N2" s="58">
        <v>744</v>
      </c>
    </row>
    <row r="3" spans="1:15" x14ac:dyDescent="0.3">
      <c r="B3" s="48" t="s">
        <v>14</v>
      </c>
      <c r="C3" s="152" t="s">
        <v>83</v>
      </c>
      <c r="D3" s="152" t="s">
        <v>84</v>
      </c>
      <c r="E3" s="152" t="s">
        <v>85</v>
      </c>
      <c r="F3" s="152" t="s">
        <v>36</v>
      </c>
      <c r="G3" s="152" t="s">
        <v>37</v>
      </c>
      <c r="H3" s="152" t="s">
        <v>38</v>
      </c>
      <c r="I3" s="152" t="s">
        <v>39</v>
      </c>
      <c r="J3" s="152" t="s">
        <v>40</v>
      </c>
      <c r="K3" s="152" t="s">
        <v>41</v>
      </c>
      <c r="L3" s="152" t="s">
        <v>42</v>
      </c>
      <c r="M3" s="152" t="s">
        <v>43</v>
      </c>
      <c r="N3" s="152" t="s">
        <v>44</v>
      </c>
    </row>
    <row r="4" spans="1:15" ht="15" x14ac:dyDescent="0.25">
      <c r="B4" s="104" t="s">
        <v>25</v>
      </c>
      <c r="C4" s="145">
        <f>'Memória de Cálculo'!B55</f>
        <v>0</v>
      </c>
      <c r="D4" s="145">
        <f>'Memória de Cálculo'!C55</f>
        <v>0</v>
      </c>
      <c r="E4" s="145">
        <f>'Memória de Cálculo'!D55</f>
        <v>0</v>
      </c>
      <c r="F4" s="145">
        <f>'Memória de Cálculo'!E55</f>
        <v>0</v>
      </c>
      <c r="G4" s="145">
        <f>'Memória de Cálculo'!F55</f>
        <v>0</v>
      </c>
      <c r="H4" s="145">
        <f>'Memória de Cálculo'!G55</f>
        <v>0</v>
      </c>
      <c r="I4" s="145">
        <f>'Memória de Cálculo'!H55</f>
        <v>0</v>
      </c>
      <c r="J4" s="145">
        <f>'Memória de Cálculo'!I55</f>
        <v>0</v>
      </c>
      <c r="K4" s="145">
        <f>'Memória de Cálculo'!J55</f>
        <v>0</v>
      </c>
      <c r="L4" s="145">
        <f>'Memória de Cálculo'!K55</f>
        <v>0</v>
      </c>
      <c r="M4" s="145">
        <f>'Memória de Cálculo'!L55</f>
        <v>0</v>
      </c>
      <c r="N4" s="145">
        <f>'Memória de Cálculo'!M55</f>
        <v>0</v>
      </c>
    </row>
    <row r="5" spans="1:15" ht="15" x14ac:dyDescent="0.25">
      <c r="B5" s="105" t="s">
        <v>26</v>
      </c>
      <c r="C5" s="145">
        <f>'Memória de Cálculo'!B56</f>
        <v>5</v>
      </c>
      <c r="D5" s="145">
        <f>'Memória de Cálculo'!C56</f>
        <v>5</v>
      </c>
      <c r="E5" s="145">
        <f>'Memória de Cálculo'!D56</f>
        <v>5</v>
      </c>
      <c r="F5" s="145">
        <f>'Memória de Cálculo'!E56</f>
        <v>5</v>
      </c>
      <c r="G5" s="145">
        <f>'Memória de Cálculo'!F56</f>
        <v>5</v>
      </c>
      <c r="H5" s="145">
        <f>'Memória de Cálculo'!G56</f>
        <v>5</v>
      </c>
      <c r="I5" s="145">
        <f>'Memória de Cálculo'!H56</f>
        <v>5</v>
      </c>
      <c r="J5" s="145">
        <f>'Memória de Cálculo'!I56</f>
        <v>5</v>
      </c>
      <c r="K5" s="145">
        <f>'Memória de Cálculo'!J56</f>
        <v>5</v>
      </c>
      <c r="L5" s="145">
        <f>'Memória de Cálculo'!K56</f>
        <v>5</v>
      </c>
      <c r="M5" s="145">
        <f>'Memória de Cálculo'!L56</f>
        <v>5</v>
      </c>
      <c r="N5" s="145">
        <f>'Memória de Cálculo'!M56</f>
        <v>5</v>
      </c>
    </row>
    <row r="6" spans="1:15" ht="15" x14ac:dyDescent="0.25">
      <c r="B6" s="105" t="s">
        <v>4</v>
      </c>
      <c r="C6" s="145">
        <f>'Memória de Cálculo'!B57</f>
        <v>9.6500000000000002E-2</v>
      </c>
      <c r="D6" s="145">
        <f>'Memória de Cálculo'!C57</f>
        <v>9.6500000000000002E-2</v>
      </c>
      <c r="E6" s="145">
        <f>'Memória de Cálculo'!D57</f>
        <v>9.6500000000000002E-2</v>
      </c>
      <c r="F6" s="145">
        <f>'Memória de Cálculo'!E57</f>
        <v>9.6500000000000002E-2</v>
      </c>
      <c r="G6" s="145">
        <f>'Memória de Cálculo'!F57</f>
        <v>9.6500000000000002E-2</v>
      </c>
      <c r="H6" s="145">
        <f>'Memória de Cálculo'!G57</f>
        <v>9.6500000000000002E-2</v>
      </c>
      <c r="I6" s="145">
        <f>'Memória de Cálculo'!H57</f>
        <v>9.6500000000000002E-2</v>
      </c>
      <c r="J6" s="145">
        <f>'Memória de Cálculo'!I57</f>
        <v>9.6500000000000002E-2</v>
      </c>
      <c r="K6" s="145">
        <f>'Memória de Cálculo'!J57</f>
        <v>9.6500000000000002E-2</v>
      </c>
      <c r="L6" s="145">
        <f>'Memória de Cálculo'!K57</f>
        <v>9.6500000000000002E-2</v>
      </c>
      <c r="M6" s="145">
        <f>'Memória de Cálculo'!L57</f>
        <v>9.6500000000000002E-2</v>
      </c>
      <c r="N6" s="145">
        <f>'Memória de Cálculo'!M57</f>
        <v>9.6500000000000002E-2</v>
      </c>
    </row>
    <row r="7" spans="1:15" ht="15" x14ac:dyDescent="0.25">
      <c r="B7" s="147" t="s">
        <v>49</v>
      </c>
      <c r="C7" s="146">
        <f>SUM(C4:C6)*0.97</f>
        <v>4.9436049999999998</v>
      </c>
      <c r="D7" s="146">
        <f t="shared" ref="D7:K7" si="0">SUM(D4:D6)*0.97</f>
        <v>4.9436049999999998</v>
      </c>
      <c r="E7" s="146">
        <f t="shared" si="0"/>
        <v>4.9436049999999998</v>
      </c>
      <c r="F7" s="146">
        <f t="shared" si="0"/>
        <v>4.9436049999999998</v>
      </c>
      <c r="G7" s="146">
        <f t="shared" si="0"/>
        <v>4.9436049999999998</v>
      </c>
      <c r="H7" s="146">
        <f t="shared" si="0"/>
        <v>4.9436049999999998</v>
      </c>
      <c r="I7" s="146">
        <f t="shared" si="0"/>
        <v>4.9436049999999998</v>
      </c>
      <c r="J7" s="146">
        <f t="shared" si="0"/>
        <v>4.9436049999999998</v>
      </c>
      <c r="K7" s="146">
        <f t="shared" si="0"/>
        <v>4.9436049999999998</v>
      </c>
      <c r="L7" s="146">
        <f>SUM(L4:L6)*0.97</f>
        <v>4.9436049999999998</v>
      </c>
      <c r="M7" s="146">
        <f t="shared" ref="M7:N7" si="1">SUM(M4:M6)*0.97</f>
        <v>4.9436049999999998</v>
      </c>
      <c r="N7" s="146">
        <f t="shared" si="1"/>
        <v>4.9436049999999998</v>
      </c>
    </row>
    <row r="8" spans="1:15" ht="15.75" thickBot="1" x14ac:dyDescent="0.3">
      <c r="B8" s="148" t="s">
        <v>50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5" ht="15.75" thickTop="1" x14ac:dyDescent="0.25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5" ht="15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5" ht="15" x14ac:dyDescent="0.25">
      <c r="B11" s="149" t="s">
        <v>17</v>
      </c>
      <c r="C11" s="153" t="s">
        <v>83</v>
      </c>
      <c r="D11" s="153" t="s">
        <v>84</v>
      </c>
      <c r="E11" s="153" t="s">
        <v>85</v>
      </c>
      <c r="F11" s="153" t="s">
        <v>36</v>
      </c>
      <c r="G11" s="153" t="s">
        <v>37</v>
      </c>
      <c r="H11" s="153" t="s">
        <v>38</v>
      </c>
      <c r="I11" s="153" t="s">
        <v>39</v>
      </c>
      <c r="J11" s="153" t="s">
        <v>40</v>
      </c>
      <c r="K11" s="153" t="s">
        <v>41</v>
      </c>
      <c r="L11" s="153" t="s">
        <v>42</v>
      </c>
      <c r="M11" s="153" t="s">
        <v>43</v>
      </c>
      <c r="N11" s="154" t="s">
        <v>44</v>
      </c>
    </row>
    <row r="12" spans="1:15" ht="15" x14ac:dyDescent="0.25">
      <c r="B12" s="105" t="s">
        <v>25</v>
      </c>
      <c r="C12" s="8">
        <f>C4*C2</f>
        <v>0</v>
      </c>
      <c r="D12" s="8">
        <f t="shared" ref="D12:N12" si="2">D4*D2</f>
        <v>0</v>
      </c>
      <c r="E12" s="8">
        <f t="shared" si="2"/>
        <v>0</v>
      </c>
      <c r="F12" s="8">
        <f t="shared" si="2"/>
        <v>0</v>
      </c>
      <c r="G12" s="8">
        <f t="shared" si="2"/>
        <v>0</v>
      </c>
      <c r="H12" s="8">
        <f t="shared" si="2"/>
        <v>0</v>
      </c>
      <c r="I12" s="8">
        <f t="shared" si="2"/>
        <v>0</v>
      </c>
      <c r="J12" s="8">
        <f t="shared" si="2"/>
        <v>0</v>
      </c>
      <c r="K12" s="8">
        <f t="shared" si="2"/>
        <v>0</v>
      </c>
      <c r="L12" s="8">
        <f t="shared" si="2"/>
        <v>0</v>
      </c>
      <c r="M12" s="8">
        <f t="shared" si="2"/>
        <v>0</v>
      </c>
      <c r="N12" s="68">
        <f t="shared" si="2"/>
        <v>0</v>
      </c>
    </row>
    <row r="13" spans="1:15" ht="15" x14ac:dyDescent="0.25">
      <c r="B13" s="105" t="s">
        <v>26</v>
      </c>
      <c r="C13" s="101">
        <f>C5*C2</f>
        <v>3720</v>
      </c>
      <c r="D13" s="101">
        <f t="shared" ref="D13:N13" si="3">D5*D2</f>
        <v>3360</v>
      </c>
      <c r="E13" s="101">
        <f t="shared" si="3"/>
        <v>3720</v>
      </c>
      <c r="F13" s="101">
        <f t="shared" si="3"/>
        <v>3600</v>
      </c>
      <c r="G13" s="101">
        <f t="shared" si="3"/>
        <v>3720</v>
      </c>
      <c r="H13" s="101">
        <f t="shared" si="3"/>
        <v>3600</v>
      </c>
      <c r="I13" s="101">
        <f t="shared" si="3"/>
        <v>3720</v>
      </c>
      <c r="J13" s="101">
        <f t="shared" si="3"/>
        <v>3720</v>
      </c>
      <c r="K13" s="101">
        <f t="shared" si="3"/>
        <v>3600</v>
      </c>
      <c r="L13" s="101">
        <f t="shared" si="3"/>
        <v>3720</v>
      </c>
      <c r="M13" s="101">
        <f t="shared" si="3"/>
        <v>3600</v>
      </c>
      <c r="N13" s="69">
        <f t="shared" si="3"/>
        <v>3720</v>
      </c>
    </row>
    <row r="14" spans="1:15" ht="15.75" thickBot="1" x14ac:dyDescent="0.3">
      <c r="B14" s="106" t="s">
        <v>4</v>
      </c>
      <c r="C14" s="41">
        <f>C6*C2</f>
        <v>71.796000000000006</v>
      </c>
      <c r="D14" s="41">
        <f t="shared" ref="D14:N14" si="4">D6*D2</f>
        <v>64.847999999999999</v>
      </c>
      <c r="E14" s="41">
        <f t="shared" si="4"/>
        <v>71.796000000000006</v>
      </c>
      <c r="F14" s="41">
        <f t="shared" si="4"/>
        <v>69.48</v>
      </c>
      <c r="G14" s="41">
        <f t="shared" si="4"/>
        <v>71.796000000000006</v>
      </c>
      <c r="H14" s="41">
        <f t="shared" si="4"/>
        <v>69.48</v>
      </c>
      <c r="I14" s="41">
        <f t="shared" si="4"/>
        <v>71.796000000000006</v>
      </c>
      <c r="J14" s="41">
        <f t="shared" si="4"/>
        <v>71.796000000000006</v>
      </c>
      <c r="K14" s="41">
        <f t="shared" si="4"/>
        <v>69.48</v>
      </c>
      <c r="L14" s="41">
        <f t="shared" si="4"/>
        <v>71.796000000000006</v>
      </c>
      <c r="M14" s="41">
        <f t="shared" si="4"/>
        <v>69.48</v>
      </c>
      <c r="N14" s="70">
        <f t="shared" si="4"/>
        <v>71.796000000000006</v>
      </c>
    </row>
    <row r="15" spans="1:15" ht="15.75" thickTop="1" x14ac:dyDescent="0.25">
      <c r="A15" s="2"/>
      <c r="B15" s="2"/>
      <c r="C15" s="170">
        <f>SUM(C13:C14)</f>
        <v>3791.7959999999998</v>
      </c>
      <c r="D15" s="170">
        <f t="shared" ref="D15:N15" si="5">SUM(D13:D14)</f>
        <v>3424.848</v>
      </c>
      <c r="E15" s="170">
        <f t="shared" si="5"/>
        <v>3791.7959999999998</v>
      </c>
      <c r="F15" s="170">
        <f t="shared" si="5"/>
        <v>3669.48</v>
      </c>
      <c r="G15" s="170">
        <f t="shared" si="5"/>
        <v>3791.7959999999998</v>
      </c>
      <c r="H15" s="170">
        <f t="shared" si="5"/>
        <v>3669.48</v>
      </c>
      <c r="I15" s="170">
        <f t="shared" si="5"/>
        <v>3791.7959999999998</v>
      </c>
      <c r="J15" s="170">
        <f t="shared" si="5"/>
        <v>3791.7959999999998</v>
      </c>
      <c r="K15" s="170">
        <f t="shared" si="5"/>
        <v>3669.48</v>
      </c>
      <c r="L15" s="170">
        <f t="shared" si="5"/>
        <v>3791.7959999999998</v>
      </c>
      <c r="M15" s="170">
        <f t="shared" si="5"/>
        <v>3669.48</v>
      </c>
      <c r="N15" s="170">
        <f t="shared" si="5"/>
        <v>3791.7959999999998</v>
      </c>
    </row>
    <row r="16" spans="1:15" ht="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60"/>
    </row>
    <row r="17" spans="1:15" x14ac:dyDescent="0.3">
      <c r="A17" s="2"/>
      <c r="B17" s="151" t="s">
        <v>0</v>
      </c>
      <c r="C17" s="152" t="s">
        <v>83</v>
      </c>
      <c r="D17" s="152" t="s">
        <v>84</v>
      </c>
      <c r="E17" s="152" t="s">
        <v>85</v>
      </c>
      <c r="F17" s="152" t="s">
        <v>36</v>
      </c>
      <c r="G17" s="152" t="s">
        <v>37</v>
      </c>
      <c r="H17" s="152" t="s">
        <v>38</v>
      </c>
      <c r="I17" s="152" t="s">
        <v>39</v>
      </c>
      <c r="J17" s="152" t="s">
        <v>40</v>
      </c>
      <c r="K17" s="152" t="s">
        <v>41</v>
      </c>
      <c r="L17" s="152" t="s">
        <v>42</v>
      </c>
      <c r="M17" s="152" t="s">
        <v>43</v>
      </c>
      <c r="N17" s="155" t="s">
        <v>44</v>
      </c>
      <c r="O17" s="60"/>
    </row>
    <row r="18" spans="1:15" x14ac:dyDescent="0.3">
      <c r="B18" s="44" t="s">
        <v>28</v>
      </c>
      <c r="C18" s="51">
        <f>SUMPRODUCT(C19:C21,C12:C14)/(SUM(C12:C14)*0.97)</f>
        <v>206.29916466610905</v>
      </c>
      <c r="D18" s="6">
        <f t="shared" ref="D18:N18" si="6">SUMPRODUCT(D19:D21,D12:D14)/(SUM(D12:D14)*0.97)</f>
        <v>206.29916466610905</v>
      </c>
      <c r="E18" s="6">
        <f t="shared" si="6"/>
        <v>206.29916466610905</v>
      </c>
      <c r="F18" s="6">
        <f t="shared" si="6"/>
        <v>206.29916466610905</v>
      </c>
      <c r="G18" s="6">
        <f t="shared" si="6"/>
        <v>206.29916466610905</v>
      </c>
      <c r="H18" s="6">
        <f t="shared" si="6"/>
        <v>206.29916466610905</v>
      </c>
      <c r="I18" s="6">
        <f t="shared" si="6"/>
        <v>206.29916466610905</v>
      </c>
      <c r="J18" s="6">
        <f t="shared" si="6"/>
        <v>206.29916466610905</v>
      </c>
      <c r="K18" s="6">
        <f t="shared" si="6"/>
        <v>206.29916466610905</v>
      </c>
      <c r="L18" s="6">
        <f t="shared" si="6"/>
        <v>206.29916466610905</v>
      </c>
      <c r="M18" s="6">
        <f t="shared" si="6"/>
        <v>206.29916466610905</v>
      </c>
      <c r="N18" s="69">
        <f t="shared" si="6"/>
        <v>206.29916466610905</v>
      </c>
    </row>
    <row r="19" spans="1:15" ht="15" x14ac:dyDescent="0.25">
      <c r="B19" s="44" t="s">
        <v>27</v>
      </c>
      <c r="C19" s="51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9">
        <v>0</v>
      </c>
    </row>
    <row r="20" spans="1:15" ht="15" x14ac:dyDescent="0.25">
      <c r="B20" s="44" t="s">
        <v>26</v>
      </c>
      <c r="C20" s="51">
        <f>'Memória de Cálculo'!B67</f>
        <v>203.97231638784001</v>
      </c>
      <c r="D20" s="6">
        <f>'Memória de Cálculo'!C67</f>
        <v>203.97231638784001</v>
      </c>
      <c r="E20" s="6">
        <f>'Memória de Cálculo'!D67</f>
        <v>203.97231638784001</v>
      </c>
      <c r="F20" s="6">
        <f>'Memória de Cálculo'!E67</f>
        <v>203.97231638784001</v>
      </c>
      <c r="G20" s="6">
        <f>'Memória de Cálculo'!F67</f>
        <v>203.97231638784001</v>
      </c>
      <c r="H20" s="6">
        <f>'Memória de Cálculo'!G67</f>
        <v>203.97231638784001</v>
      </c>
      <c r="I20" s="6">
        <f>'Memória de Cálculo'!H67</f>
        <v>203.97231638784001</v>
      </c>
      <c r="J20" s="6">
        <f>'Memória de Cálculo'!I67</f>
        <v>203.97231638784001</v>
      </c>
      <c r="K20" s="6">
        <f>'Memória de Cálculo'!J67</f>
        <v>203.97231638784001</v>
      </c>
      <c r="L20" s="6">
        <f>'Memória de Cálculo'!K67</f>
        <v>203.97231638784001</v>
      </c>
      <c r="M20" s="6">
        <f>'Memória de Cálculo'!L67</f>
        <v>203.97231638784001</v>
      </c>
      <c r="N20" s="69">
        <f>'Memória de Cálculo'!M67</f>
        <v>203.97231638784001</v>
      </c>
    </row>
    <row r="21" spans="1:15" ht="15.75" thickBot="1" x14ac:dyDescent="0.3">
      <c r="B21" s="45" t="s">
        <v>4</v>
      </c>
      <c r="C21" s="52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70">
        <v>0</v>
      </c>
    </row>
    <row r="22" spans="1:15" ht="15.75" thickTop="1" x14ac:dyDescent="0.25">
      <c r="B22" s="46" t="s">
        <v>19</v>
      </c>
      <c r="C22" s="61"/>
      <c r="D22" s="9"/>
      <c r="E22" s="9"/>
      <c r="F22" s="9"/>
      <c r="G22" s="9"/>
      <c r="H22" s="9"/>
      <c r="I22" s="9"/>
      <c r="J22" s="9"/>
      <c r="K22" s="9"/>
      <c r="L22" s="9"/>
      <c r="M22" s="9"/>
      <c r="N22" s="150"/>
    </row>
    <row r="23" spans="1:15" ht="15" x14ac:dyDescent="0.25">
      <c r="B23" s="44" t="s">
        <v>12</v>
      </c>
      <c r="C23" s="51">
        <f>'Memória de Cálculo'!B71</f>
        <v>104.21537634408601</v>
      </c>
      <c r="D23" s="6">
        <f>'Memória de Cálculo'!C71</f>
        <v>115.38130952380951</v>
      </c>
      <c r="E23" s="6">
        <f>'Memória de Cálculo'!D71</f>
        <v>104.21537634408601</v>
      </c>
      <c r="F23" s="6">
        <f>'Memória de Cálculo'!E71</f>
        <v>92.130611111111108</v>
      </c>
      <c r="G23" s="6">
        <f>'Memória de Cálculo'!F71</f>
        <v>89.158655913978492</v>
      </c>
      <c r="H23" s="6">
        <f>'Memória de Cálculo'!G71</f>
        <v>92.130611111111108</v>
      </c>
      <c r="I23" s="6">
        <f>'Memória de Cálculo'!H71</f>
        <v>89.158655913978492</v>
      </c>
      <c r="J23" s="6">
        <f>'Memória de Cálculo'!I71</f>
        <v>89.158655913978492</v>
      </c>
      <c r="K23" s="6">
        <f>'Memória de Cálculo'!J71</f>
        <v>92.130611111111108</v>
      </c>
      <c r="L23" s="6">
        <f>'Memória de Cálculo'!K71</f>
        <v>89.158655913978492</v>
      </c>
      <c r="M23" s="6">
        <f>'Memória de Cálculo'!L71</f>
        <v>92.130611111111108</v>
      </c>
      <c r="N23" s="69">
        <f>'Memória de Cálculo'!M71</f>
        <v>89.158655913978492</v>
      </c>
    </row>
    <row r="24" spans="1:15" ht="15.75" thickBot="1" x14ac:dyDescent="0.3">
      <c r="B24" s="45" t="s">
        <v>13</v>
      </c>
      <c r="C24" s="52">
        <f>'Memória de Cálculo'!B72</f>
        <v>50.77</v>
      </c>
      <c r="D24" s="41">
        <f>'Memória de Cálculo'!C72</f>
        <v>50.77</v>
      </c>
      <c r="E24" s="41">
        <f>'Memória de Cálculo'!D72</f>
        <v>50.77</v>
      </c>
      <c r="F24" s="41">
        <f>'Memória de Cálculo'!E72</f>
        <v>54.08</v>
      </c>
      <c r="G24" s="41">
        <f>'Memória de Cálculo'!F72</f>
        <v>54.08</v>
      </c>
      <c r="H24" s="41">
        <f>'Memória de Cálculo'!G72</f>
        <v>54.08</v>
      </c>
      <c r="I24" s="41">
        <f>'Memória de Cálculo'!H72</f>
        <v>54.08</v>
      </c>
      <c r="J24" s="41">
        <f>'Memória de Cálculo'!I72</f>
        <v>54.08</v>
      </c>
      <c r="K24" s="41">
        <f>'Memória de Cálculo'!J72</f>
        <v>54.08</v>
      </c>
      <c r="L24" s="41">
        <f>'Memória de Cálculo'!K72</f>
        <v>54.08</v>
      </c>
      <c r="M24" s="41">
        <f>'Memória de Cálculo'!L72</f>
        <v>54.08</v>
      </c>
      <c r="N24" s="70">
        <f>'Memória de Cálculo'!M72</f>
        <v>54.079999999999991</v>
      </c>
    </row>
    <row r="25" spans="1:15" ht="15.75" thickTop="1" x14ac:dyDescent="0.25">
      <c r="B25" s="2"/>
      <c r="C25" s="6"/>
      <c r="D25" s="6"/>
      <c r="E25" s="6"/>
      <c r="F25" s="6"/>
      <c r="G25" s="6"/>
      <c r="H25" s="6"/>
      <c r="I25" s="6"/>
      <c r="J25" s="6"/>
      <c r="K25" s="6"/>
      <c r="L25" s="2"/>
      <c r="M25" s="2"/>
      <c r="N25" s="2"/>
    </row>
    <row r="26" spans="1:15" x14ac:dyDescent="0.3">
      <c r="B26" s="2" t="s">
        <v>29</v>
      </c>
      <c r="C26" s="6"/>
      <c r="D26" s="6"/>
      <c r="E26" s="6"/>
      <c r="F26" s="6"/>
      <c r="G26" s="6"/>
      <c r="H26" s="6"/>
      <c r="I26" s="6"/>
      <c r="J26" s="6"/>
      <c r="K26" s="6"/>
      <c r="L26" s="2"/>
      <c r="M26" s="2"/>
      <c r="N26" s="2"/>
    </row>
    <row r="27" spans="1:15" ht="15" x14ac:dyDescent="0.25">
      <c r="B27" s="10"/>
      <c r="C27" s="1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5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5" ht="15" x14ac:dyDescent="0.25">
      <c r="B29" s="2"/>
      <c r="C29" s="169" t="s">
        <v>83</v>
      </c>
      <c r="D29" s="169" t="s">
        <v>84</v>
      </c>
      <c r="E29" s="169" t="s">
        <v>85</v>
      </c>
      <c r="F29" s="169" t="s">
        <v>36</v>
      </c>
      <c r="G29" s="169" t="s">
        <v>37</v>
      </c>
      <c r="H29" s="169" t="s">
        <v>38</v>
      </c>
      <c r="I29" s="169" t="s">
        <v>39</v>
      </c>
      <c r="J29" s="169" t="s">
        <v>40</v>
      </c>
      <c r="K29" s="169" t="s">
        <v>41</v>
      </c>
      <c r="L29" s="169" t="s">
        <v>42</v>
      </c>
      <c r="M29" s="169" t="s">
        <v>43</v>
      </c>
      <c r="N29" s="169" t="s">
        <v>44</v>
      </c>
    </row>
    <row r="30" spans="1:15" x14ac:dyDescent="0.3">
      <c r="B30" s="62" t="s">
        <v>22</v>
      </c>
      <c r="C30" s="63">
        <f>C18+C23+C24</f>
        <v>361.28454101019503</v>
      </c>
      <c r="D30" s="63">
        <f t="shared" ref="D30:N30" si="7">D18+D23+D24</f>
        <v>372.45047418991851</v>
      </c>
      <c r="E30" s="63">
        <f t="shared" si="7"/>
        <v>361.28454101019503</v>
      </c>
      <c r="F30" s="63">
        <f t="shared" si="7"/>
        <v>352.50977577722011</v>
      </c>
      <c r="G30" s="63">
        <f t="shared" si="7"/>
        <v>349.5378205800875</v>
      </c>
      <c r="H30" s="63">
        <f t="shared" si="7"/>
        <v>352.50977577722011</v>
      </c>
      <c r="I30" s="63">
        <f t="shared" si="7"/>
        <v>349.5378205800875</v>
      </c>
      <c r="J30" s="63">
        <f t="shared" si="7"/>
        <v>349.5378205800875</v>
      </c>
      <c r="K30" s="63">
        <f t="shared" si="7"/>
        <v>352.50977577722011</v>
      </c>
      <c r="L30" s="63">
        <f t="shared" si="7"/>
        <v>349.5378205800875</v>
      </c>
      <c r="M30" s="63">
        <f t="shared" si="7"/>
        <v>352.50977577722011</v>
      </c>
      <c r="N30" s="63">
        <f t="shared" si="7"/>
        <v>349.5378205800875</v>
      </c>
      <c r="O30" s="47"/>
    </row>
    <row r="31" spans="1:15" ht="15" x14ac:dyDescent="0.25"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</row>
    <row r="32" spans="1:15" x14ac:dyDescent="0.3">
      <c r="B32" s="64" t="s">
        <v>21</v>
      </c>
      <c r="C32" s="65">
        <f>SUMPRODUCT(C19:C20,C12:C13)/SUM(C12:C13)/0.9075</f>
        <v>224.76288307200002</v>
      </c>
      <c r="D32" s="65">
        <f t="shared" ref="C32:N32" si="8">SUMPRODUCT(D19:D20,D12:D13)/SUM(D12:D13)/0.9075</f>
        <v>224.76288307200002</v>
      </c>
      <c r="E32" s="65">
        <f t="shared" si="8"/>
        <v>224.76288307200002</v>
      </c>
      <c r="F32" s="65">
        <f t="shared" si="8"/>
        <v>224.76288307200002</v>
      </c>
      <c r="G32" s="65">
        <f t="shared" si="8"/>
        <v>224.76288307200002</v>
      </c>
      <c r="H32" s="65">
        <f t="shared" si="8"/>
        <v>224.76288307200002</v>
      </c>
      <c r="I32" s="65">
        <f t="shared" si="8"/>
        <v>224.76288307200002</v>
      </c>
      <c r="J32" s="65">
        <f t="shared" si="8"/>
        <v>224.76288307200002</v>
      </c>
      <c r="K32" s="65">
        <f t="shared" si="8"/>
        <v>224.76288307200002</v>
      </c>
      <c r="L32" s="65">
        <f t="shared" si="8"/>
        <v>224.76288307200002</v>
      </c>
      <c r="M32" s="65">
        <f t="shared" si="8"/>
        <v>224.76288307200002</v>
      </c>
      <c r="N32" s="65">
        <f t="shared" si="8"/>
        <v>224.76288307200002</v>
      </c>
      <c r="O32" s="47"/>
    </row>
    <row r="33" spans="2:15" ht="15" x14ac:dyDescent="0.25"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</row>
    <row r="34" spans="2:15" x14ac:dyDescent="0.3">
      <c r="B34" s="66" t="s">
        <v>23</v>
      </c>
      <c r="C34" s="67">
        <f>'Curva de Preços SPOT'!B9</f>
        <v>175.43</v>
      </c>
      <c r="D34" s="67">
        <f>'Curva de Preços SPOT'!C9</f>
        <v>175.43</v>
      </c>
      <c r="E34" s="67">
        <f>'Curva de Preços SPOT'!D9</f>
        <v>175.43</v>
      </c>
      <c r="F34" s="67">
        <f>'Curva de Preços SPOT'!E9</f>
        <v>175.43</v>
      </c>
      <c r="G34" s="67">
        <f>'Curva de Preços SPOT'!F9</f>
        <v>175.43</v>
      </c>
      <c r="H34" s="67">
        <f>'Curva de Preços SPOT'!G9</f>
        <v>175.43</v>
      </c>
      <c r="I34" s="67">
        <f>'Curva de Preços SPOT'!H9</f>
        <v>175.43</v>
      </c>
      <c r="J34" s="67">
        <f>'Curva de Preços SPOT'!I9</f>
        <v>175.43</v>
      </c>
      <c r="K34" s="67">
        <f>'Curva de Preços SPOT'!J9</f>
        <v>175.43</v>
      </c>
      <c r="L34" s="67">
        <f>'Curva de Preços SPOT'!K9</f>
        <v>175.43</v>
      </c>
      <c r="M34" s="67">
        <f>'Curva de Preços SPOT'!L9</f>
        <v>175.43</v>
      </c>
      <c r="N34" s="67">
        <f>'Curva de Preços SPOT'!M9</f>
        <v>175.43</v>
      </c>
      <c r="O34" s="47"/>
    </row>
    <row r="35" spans="2:15" ht="15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5" ht="15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5" ht="15" x14ac:dyDescent="0.25">
      <c r="B37" s="171" t="s">
        <v>131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5" ht="1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5" ht="15" x14ac:dyDescent="0.25">
      <c r="B39" s="2"/>
      <c r="C39" s="163" t="s">
        <v>127</v>
      </c>
      <c r="D39" s="163" t="s">
        <v>128</v>
      </c>
      <c r="E39" s="163" t="s">
        <v>129</v>
      </c>
      <c r="F39" s="157" t="s">
        <v>130</v>
      </c>
      <c r="G39" s="2"/>
      <c r="H39" s="2"/>
      <c r="I39" s="2"/>
      <c r="J39" s="2"/>
      <c r="K39" s="2"/>
      <c r="L39" s="2"/>
      <c r="M39" s="2"/>
      <c r="N39" s="2"/>
    </row>
    <row r="40" spans="2:15" x14ac:dyDescent="0.3">
      <c r="B40" s="62" t="s">
        <v>22</v>
      </c>
      <c r="C40" s="164">
        <f>(SUMPRODUCT(C15:E15,C18:E18)+SUMPRODUCT(C23:E23,C15:E15)+SUMPRODUCT(C15:E15,C24:E24))/SUM(C15:E15)</f>
        <v>364.7583868883313</v>
      </c>
      <c r="D40" s="164">
        <f>(SUMPRODUCT(F15:H15,F18:H18)+SUMPRODUCT(F23:H23,F15:H15)+SUMPRODUCT(F15:H15,F24:H24))/SUM(F15:H15)</f>
        <v>351.49735147929584</v>
      </c>
      <c r="E40" s="164">
        <f>(SUMPRODUCT(I15:K15,I18:K18)+SUMPRODUCT(I23:K23,I15:K15)+SUMPRODUCT(I15:K15,I24:K24))/SUM(I15:K15)</f>
        <v>350.50693640523946</v>
      </c>
      <c r="F40" s="63">
        <f>(SUMPRODUCT(L15:N15,L18:N18)+SUMPRODUCT(L23:N23,L15:N15)+SUMPRODUCT(L15:N15,L24:N24))/SUM(L15:N15)</f>
        <v>350.50693640523946</v>
      </c>
      <c r="G40" s="2"/>
      <c r="H40" s="2"/>
      <c r="I40" s="2"/>
      <c r="J40" s="2"/>
      <c r="K40" s="2"/>
      <c r="L40" s="2"/>
      <c r="M40" s="2"/>
      <c r="N40" s="2"/>
    </row>
    <row r="41" spans="2:15" ht="15" x14ac:dyDescent="0.25">
      <c r="B41" s="56"/>
      <c r="C41" s="165"/>
      <c r="D41" s="165"/>
      <c r="E41" s="165"/>
      <c r="F41" s="56"/>
      <c r="G41" s="2"/>
      <c r="H41" s="2"/>
      <c r="I41" s="2"/>
      <c r="J41" s="2"/>
      <c r="K41" s="2"/>
      <c r="L41" s="2"/>
      <c r="M41" s="2"/>
      <c r="N41" s="2"/>
    </row>
    <row r="42" spans="2:15" x14ac:dyDescent="0.3">
      <c r="B42" s="64" t="s">
        <v>21</v>
      </c>
      <c r="C42" s="166">
        <f>SUMPRODUCT(C12:E13,C19:E20)/SUM(C12:E13)/0.9075</f>
        <v>224.76288307199999</v>
      </c>
      <c r="D42" s="166">
        <f>SUMPRODUCT(F12:H13,F19:H20)/SUM(F12:H13)/0.9075</f>
        <v>224.76288307200002</v>
      </c>
      <c r="E42" s="166">
        <f>SUMPRODUCT(I12:K13,I19:K20)/SUM(I12:K13)/0.9075</f>
        <v>224.76288307200002</v>
      </c>
      <c r="F42" s="65">
        <f>SUMPRODUCT(L12:N13,L19:N20)/SUM(L12:N13)/0.9075</f>
        <v>224.76288307200002</v>
      </c>
      <c r="G42" s="2"/>
      <c r="H42" s="2"/>
      <c r="I42" s="2"/>
      <c r="J42" s="2"/>
      <c r="K42" s="2"/>
      <c r="L42" s="2"/>
      <c r="M42" s="2"/>
      <c r="N42" s="2"/>
    </row>
    <row r="43" spans="2:15" ht="15" x14ac:dyDescent="0.25">
      <c r="B43" s="56"/>
      <c r="C43" s="165"/>
      <c r="D43" s="165"/>
      <c r="E43" s="165"/>
      <c r="F43" s="56"/>
      <c r="G43" s="2"/>
      <c r="H43" s="2"/>
      <c r="I43" s="2"/>
      <c r="J43" s="2"/>
      <c r="K43" s="2"/>
      <c r="L43" s="2"/>
      <c r="M43" s="2"/>
      <c r="N43" s="2"/>
    </row>
    <row r="44" spans="2:15" x14ac:dyDescent="0.3">
      <c r="B44" s="66" t="s">
        <v>23</v>
      </c>
      <c r="C44" s="168">
        <f>AVERAGE('Curva de Preços SPOT'!B9:D9)</f>
        <v>175.42999999999998</v>
      </c>
      <c r="D44" s="168">
        <f>AVERAGE('Curva de Preços SPOT'!E9:G9)</f>
        <v>175.42999999999998</v>
      </c>
      <c r="E44" s="168">
        <f>AVERAGE('Curva de Preços SPOT'!H9:J9)</f>
        <v>175.42999999999998</v>
      </c>
      <c r="F44" s="67">
        <f>AVERAGE('Curva de Preços SPOT'!K9:M9)</f>
        <v>175.42999999999998</v>
      </c>
      <c r="G44" s="2"/>
      <c r="H44" s="2"/>
      <c r="I44" s="2"/>
      <c r="J44" s="2"/>
      <c r="K44" s="2"/>
      <c r="L44" s="2"/>
      <c r="M44" s="2"/>
      <c r="N44" s="2"/>
    </row>
    <row r="45" spans="2:15" ht="15" x14ac:dyDescent="0.25">
      <c r="G45" s="2"/>
      <c r="H45" s="2"/>
      <c r="I45" s="2"/>
      <c r="J45" s="2"/>
      <c r="K45" s="2"/>
      <c r="L45" s="2"/>
      <c r="M45" s="2"/>
      <c r="N45" s="2"/>
    </row>
  </sheetData>
  <phoneticPr fontId="4" type="noConversion"/>
  <pageMargins left="0.511811024" right="0.511811024" top="0.78740157499999996" bottom="0.78740157499999996" header="0.31496062000000002" footer="0.31496062000000002"/>
  <ignoredErrors>
    <ignoredError sqref="E32:K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4"/>
  <sheetViews>
    <sheetView workbookViewId="0">
      <selection activeCell="C14" sqref="C14"/>
    </sheetView>
  </sheetViews>
  <sheetFormatPr defaultRowHeight="14.4" x14ac:dyDescent="0.3"/>
  <cols>
    <col min="2" max="2" width="47" bestFit="1" customWidth="1"/>
    <col min="3" max="3" width="12.6640625" bestFit="1" customWidth="1"/>
    <col min="4" max="11" width="11.5546875" bestFit="1" customWidth="1"/>
    <col min="15" max="15" width="21.44140625" bestFit="1" customWidth="1"/>
  </cols>
  <sheetData>
    <row r="2" spans="2:15" ht="18" x14ac:dyDescent="0.35">
      <c r="B2" s="57" t="s">
        <v>74</v>
      </c>
    </row>
    <row r="3" spans="2:15" ht="15" x14ac:dyDescent="0.25">
      <c r="C3" s="156" t="s">
        <v>83</v>
      </c>
      <c r="D3" s="156" t="s">
        <v>84</v>
      </c>
      <c r="E3" s="156" t="s">
        <v>85</v>
      </c>
      <c r="F3" s="156" t="s">
        <v>36</v>
      </c>
      <c r="G3" s="156" t="s">
        <v>37</v>
      </c>
      <c r="H3" s="156" t="s">
        <v>38</v>
      </c>
      <c r="I3" s="156" t="s">
        <v>39</v>
      </c>
      <c r="J3" s="156" t="s">
        <v>40</v>
      </c>
      <c r="K3" s="156" t="s">
        <v>41</v>
      </c>
      <c r="L3" s="156" t="s">
        <v>42</v>
      </c>
      <c r="M3" s="156" t="s">
        <v>43</v>
      </c>
      <c r="N3" s="156" t="s">
        <v>44</v>
      </c>
    </row>
    <row r="4" spans="2:15" x14ac:dyDescent="0.3">
      <c r="B4" s="62" t="s">
        <v>75</v>
      </c>
      <c r="C4" s="63">
        <f>'Memória de Cálculo'!B22</f>
        <v>196.30408284097172</v>
      </c>
      <c r="D4" s="63">
        <f>'Memória de Cálculo'!C22</f>
        <v>196.36728455974662</v>
      </c>
      <c r="E4" s="63">
        <f>'Memória de Cálculo'!D22</f>
        <v>196.178778564889</v>
      </c>
      <c r="F4" s="63">
        <f>'Memória de Cálculo'!E22</f>
        <v>196.66994167968505</v>
      </c>
      <c r="G4" s="63">
        <f>'Memória de Cálculo'!F22</f>
        <v>197.13328874261327</v>
      </c>
      <c r="H4" s="63">
        <f>'Memória de Cálculo'!G22</f>
        <v>197.59369073665601</v>
      </c>
      <c r="I4" s="63">
        <f>'Memória de Cálculo'!H22</f>
        <v>197.45131561054399</v>
      </c>
      <c r="J4" s="63">
        <f>'Memória de Cálculo'!I22</f>
        <v>198.96970564061183</v>
      </c>
      <c r="K4" s="63">
        <f>'Memória de Cálculo'!J22</f>
        <v>198.78871217210087</v>
      </c>
      <c r="L4" s="63">
        <f>'Memória de Cálculo'!K22</f>
        <v>198.78871217210087</v>
      </c>
      <c r="M4" s="63">
        <f>'Memória de Cálculo'!L22</f>
        <v>198.78871217210087</v>
      </c>
      <c r="N4" s="63">
        <f>'Memória de Cálculo'!M22</f>
        <v>198.78871217210087</v>
      </c>
    </row>
    <row r="5" spans="2:15" ht="15" x14ac:dyDescent="0.25"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</row>
    <row r="6" spans="2:15" x14ac:dyDescent="0.3">
      <c r="B6" s="62" t="s">
        <v>76</v>
      </c>
      <c r="C6" s="63">
        <f>'Memória de Cálculo'!B23</f>
        <v>241.06908692699957</v>
      </c>
      <c r="D6" s="63">
        <f>'Memória de Cálculo'!C23</f>
        <v>241.13228864577445</v>
      </c>
      <c r="E6" s="63">
        <f>'Memória de Cálculo'!D23</f>
        <v>240.94378265091689</v>
      </c>
      <c r="F6" s="63">
        <f>'Memória de Cálculo'!E23</f>
        <v>241.43494576571291</v>
      </c>
      <c r="G6" s="63">
        <f>'Memória de Cálculo'!F23</f>
        <v>241.89829282864116</v>
      </c>
      <c r="H6" s="63">
        <f>'Memória de Cálculo'!G23</f>
        <v>242.3586948226839</v>
      </c>
      <c r="I6" s="63">
        <f>'Memória de Cálculo'!H23</f>
        <v>242.21631969657187</v>
      </c>
      <c r="J6" s="63">
        <f>'Memória de Cálculo'!I23</f>
        <v>243.73470972663969</v>
      </c>
      <c r="K6" s="63">
        <f>'Memória de Cálculo'!J23</f>
        <v>243.55371625812873</v>
      </c>
      <c r="L6" s="63">
        <f>'Memória de Cálculo'!K23</f>
        <v>243.55371625812873</v>
      </c>
      <c r="M6" s="63">
        <f>'Memória de Cálculo'!L23</f>
        <v>243.55371625812873</v>
      </c>
      <c r="N6" s="63">
        <f>'Memória de Cálculo'!M23</f>
        <v>243.55371625812873</v>
      </c>
    </row>
    <row r="8" spans="2:15" x14ac:dyDescent="0.3">
      <c r="B8" s="64" t="s">
        <v>77</v>
      </c>
      <c r="C8" s="65">
        <f>Preços!$H$5</f>
        <v>120.71531763200001</v>
      </c>
      <c r="D8" s="65">
        <f>Preços!I5</f>
        <v>109.54915075104</v>
      </c>
      <c r="E8" s="65">
        <f>Preços!J5</f>
        <v>0</v>
      </c>
      <c r="F8" s="65">
        <f>Preços!K5</f>
        <v>0</v>
      </c>
      <c r="G8" s="65">
        <f>Preços!L5</f>
        <v>0</v>
      </c>
      <c r="H8" s="65">
        <f>Preços!M5</f>
        <v>0</v>
      </c>
      <c r="I8" s="65">
        <f>Preços!N5</f>
        <v>0</v>
      </c>
      <c r="J8" s="65">
        <f>Preços!O5</f>
        <v>0</v>
      </c>
      <c r="K8" s="65" t="str">
        <f>Preços!P5</f>
        <v>CHESF</v>
      </c>
      <c r="L8" s="65">
        <f>Preços!$H$5</f>
        <v>120.71531763200001</v>
      </c>
      <c r="M8" s="65">
        <f>Preços!R5</f>
        <v>0</v>
      </c>
      <c r="N8" s="65">
        <f>Preços!S5</f>
        <v>0</v>
      </c>
    </row>
    <row r="10" spans="2:15" x14ac:dyDescent="0.3">
      <c r="B10" s="64" t="s">
        <v>78</v>
      </c>
      <c r="C10" s="65">
        <f>'Memória de Cálculo'!B48</f>
        <v>170.86063252395428</v>
      </c>
      <c r="D10" s="65">
        <f>'Memória de Cálculo'!C48</f>
        <v>170.86063252395428</v>
      </c>
      <c r="E10" s="65">
        <f>'Memória de Cálculo'!D48</f>
        <v>170.86063252395428</v>
      </c>
      <c r="F10" s="65">
        <f>'Memória de Cálculo'!E48</f>
        <v>170.86063252395425</v>
      </c>
      <c r="G10" s="65">
        <f>'Memória de Cálculo'!F48</f>
        <v>170.86063252395428</v>
      </c>
      <c r="H10" s="65">
        <f>'Memória de Cálculo'!G48</f>
        <v>170.86063252395425</v>
      </c>
      <c r="I10" s="65">
        <f>'Memória de Cálculo'!H48</f>
        <v>170.86063252395428</v>
      </c>
      <c r="J10" s="65">
        <f>'Memória de Cálculo'!I48</f>
        <v>170.86063252395428</v>
      </c>
      <c r="K10" s="65">
        <f>'Memória de Cálculo'!J48</f>
        <v>170.86063252395425</v>
      </c>
      <c r="L10" s="65">
        <f>'Memória de Cálculo'!K48</f>
        <v>170.86063252395428</v>
      </c>
      <c r="M10" s="65">
        <f>'Memória de Cálculo'!L48</f>
        <v>170.86063252395425</v>
      </c>
      <c r="N10" s="65">
        <f>'Memória de Cálculo'!M48</f>
        <v>170.86063252395428</v>
      </c>
    </row>
    <row r="12" spans="2:15" x14ac:dyDescent="0.3">
      <c r="B12" s="66" t="s">
        <v>79</v>
      </c>
      <c r="C12" s="73">
        <f>'Memória de Cálculo'!B50</f>
        <v>232.69377584487722</v>
      </c>
      <c r="D12" s="73">
        <f>'Memória de Cálculo'!C50</f>
        <v>232.74577038476377</v>
      </c>
      <c r="E12" s="73">
        <f>'Memória de Cálculo'!D50</f>
        <v>232.59074845272644</v>
      </c>
      <c r="F12" s="73">
        <f>'Memória de Cálculo'!E50</f>
        <v>232.99498954836932</v>
      </c>
      <c r="G12" s="73">
        <f>'Memória de Cálculo'!F50</f>
        <v>233.37603537292193</v>
      </c>
      <c r="H12" s="73">
        <f>'Memória de Cálculo'!G50</f>
        <v>233.75456735154927</v>
      </c>
      <c r="I12" s="73">
        <f>'Memória de Cálculo'!H50</f>
        <v>233.63690297997189</v>
      </c>
      <c r="J12" s="73">
        <f>'Memória de Cálculo'!I50</f>
        <v>234.8861631589491</v>
      </c>
      <c r="K12" s="73">
        <f>'Memória de Cálculo'!J50</f>
        <v>234.73666185614269</v>
      </c>
      <c r="L12" s="73">
        <f>'Memória de Cálculo'!K50</f>
        <v>234.73666185614269</v>
      </c>
      <c r="M12" s="73">
        <f>'Memória de Cálculo'!L50</f>
        <v>234.73666185614269</v>
      </c>
      <c r="N12" s="73">
        <f>'Memória de Cálculo'!M50</f>
        <v>234.73666185614269</v>
      </c>
      <c r="O12" s="74" t="s">
        <v>81</v>
      </c>
    </row>
    <row r="13" spans="2:15" ht="15" x14ac:dyDescent="0.25"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2:15" x14ac:dyDescent="0.3">
      <c r="B14" s="66" t="s">
        <v>80</v>
      </c>
      <c r="C14" s="67">
        <f>'Memória de Cálculo'!B49</f>
        <v>175.43</v>
      </c>
      <c r="D14" s="67">
        <f>'Memória de Cálculo'!C49</f>
        <v>175.43</v>
      </c>
      <c r="E14" s="67">
        <f>'Memória de Cálculo'!D49</f>
        <v>175.43</v>
      </c>
      <c r="F14" s="67">
        <f>'Memória de Cálculo'!E49</f>
        <v>175.43</v>
      </c>
      <c r="G14" s="67">
        <f>'Memória de Cálculo'!F49</f>
        <v>175.43</v>
      </c>
      <c r="H14" s="67">
        <f>'Memória de Cálculo'!G49</f>
        <v>175.43</v>
      </c>
      <c r="I14" s="67">
        <f>'Memória de Cálculo'!H49</f>
        <v>175.43</v>
      </c>
      <c r="J14" s="67">
        <f>'Memória de Cálculo'!I49</f>
        <v>175.43</v>
      </c>
      <c r="K14" s="67">
        <f>'Memória de Cálculo'!J49</f>
        <v>175.43</v>
      </c>
      <c r="L14" s="67">
        <f>'Memória de Cálculo'!K49</f>
        <v>175.43</v>
      </c>
      <c r="M14" s="67">
        <f>'Memória de Cálculo'!L49</f>
        <v>175.43</v>
      </c>
      <c r="N14" s="67">
        <f>'Memória de Cálculo'!M49</f>
        <v>175.43</v>
      </c>
    </row>
    <row r="18" spans="2:6" ht="18" x14ac:dyDescent="0.35">
      <c r="B18" s="57" t="s">
        <v>74</v>
      </c>
      <c r="C18" s="2"/>
      <c r="D18" s="2"/>
      <c r="E18" s="2"/>
      <c r="F18" s="2"/>
    </row>
    <row r="19" spans="2:6" ht="15" x14ac:dyDescent="0.25">
      <c r="B19" s="2"/>
      <c r="C19" s="163" t="s">
        <v>127</v>
      </c>
      <c r="D19" s="158" t="s">
        <v>128</v>
      </c>
      <c r="E19" s="163" t="s">
        <v>129</v>
      </c>
      <c r="F19" s="157" t="s">
        <v>130</v>
      </c>
    </row>
    <row r="20" spans="2:6" x14ac:dyDescent="0.3">
      <c r="B20" s="62" t="s">
        <v>75</v>
      </c>
      <c r="C20" s="164">
        <f>SUMPRODUCT('Memória de Cálculo'!$B$22:$D$22,'Memória de Cálculo'!$B$14:$D$14)/SUM('Memória de Cálculo'!$B$14:$D$14)</f>
        <v>196.28058523616207</v>
      </c>
      <c r="D20" s="159">
        <f>SUMPRODUCT('Memória de Cálculo'!$E$22:$G$22,'Memória de Cálculo'!$E$14:$G$14)/SUM('Memória de Cálculo'!$E$14:$G$14)</f>
        <v>197.13231784078289</v>
      </c>
      <c r="E20" s="164">
        <f>SUMPRODUCT('Memória de Cálculo'!$H$22:$J$22,'Memória de Cálculo'!$H$14:$J$14)/SUM('Memória de Cálculo'!$H$14:$J$14)</f>
        <v>198.39905460813978</v>
      </c>
      <c r="F20" s="63">
        <f>SUMPRODUCT('Memória de Cálculo'!$K$22:$M$22,'Memória de Cálculo'!$K$14:$M$14)/SUM('Memória de Cálculo'!$K$14:$M$14)</f>
        <v>198.7887121721009</v>
      </c>
    </row>
    <row r="21" spans="2:6" ht="15" x14ac:dyDescent="0.25">
      <c r="B21" s="2"/>
      <c r="C21" s="2"/>
      <c r="D21" s="2"/>
      <c r="E21" s="2"/>
      <c r="F21" s="2"/>
    </row>
    <row r="22" spans="2:6" x14ac:dyDescent="0.3">
      <c r="B22" s="62" t="s">
        <v>76</v>
      </c>
      <c r="C22" s="164">
        <f>SUMPRODUCT('Memória de Cálculo'!$B$20:$D$20,'Memória de Cálculo'!$B$23:$D$23)/SUM('Memória de Cálculo'!$B$20:$D$20)</f>
        <v>241.04558932218995</v>
      </c>
      <c r="D22" s="159">
        <f>SUMPRODUCT('Memória de Cálculo'!$E$20:$G$20,'Memória de Cálculo'!$E$23:$G$23)/SUM('Memória de Cálculo'!$E$20:$G$20)</f>
        <v>241.89732192681078</v>
      </c>
      <c r="E22" s="164">
        <f>SUMPRODUCT('Memória de Cálculo'!$H$20:$J$20,'Memória de Cálculo'!$H$23:$J$23)/SUM('Memória de Cálculo'!$H$20:$J$20)</f>
        <v>243.16405869416761</v>
      </c>
      <c r="F22" s="63">
        <f>SUMPRODUCT('Memória de Cálculo'!$K$20:$M$20,'Memória de Cálculo'!$K$23:$M$23)/SUM('Memória de Cálculo'!$K$20:$M$20)</f>
        <v>243.5537162581287</v>
      </c>
    </row>
    <row r="23" spans="2:6" ht="15" x14ac:dyDescent="0.25">
      <c r="B23" s="2"/>
      <c r="C23" s="2"/>
      <c r="D23" s="2"/>
      <c r="E23" s="2"/>
      <c r="F23" s="2"/>
    </row>
    <row r="24" spans="2:6" x14ac:dyDescent="0.3">
      <c r="B24" s="64" t="s">
        <v>77</v>
      </c>
      <c r="C24" s="166">
        <f>Preços!$H$5</f>
        <v>120.71531763200001</v>
      </c>
      <c r="D24" s="160">
        <f>Preços!$H$5</f>
        <v>120.71531763200001</v>
      </c>
      <c r="E24" s="166">
        <f>Preços!$H$5</f>
        <v>120.71531763200001</v>
      </c>
      <c r="F24" s="65">
        <f>Preços!$H$5</f>
        <v>120.71531763200001</v>
      </c>
    </row>
    <row r="25" spans="2:6" ht="15" x14ac:dyDescent="0.25">
      <c r="B25" s="2"/>
      <c r="C25" s="2"/>
      <c r="D25" s="2"/>
      <c r="E25" s="2"/>
      <c r="F25" s="2"/>
    </row>
    <row r="26" spans="2:6" x14ac:dyDescent="0.3">
      <c r="B26" s="64" t="s">
        <v>78</v>
      </c>
      <c r="C26" s="166">
        <f>(SUMPRODUCT('Memória de Cálculo'!$B$15:$D$17,'Memória de Cálculo'!$B$24:$D$26)/SUM('Memória de Cálculo'!$B$15:$D$17))/0.9075</f>
        <v>170.86063252395428</v>
      </c>
      <c r="D26" s="160">
        <f>SUMPRODUCT('Memória de Cálculo'!$E$15:$G$17,'Memória de Cálculo'!$E$24:$G$26)/SUM('Memória de Cálculo'!$E$15:$G$17)/0.9075</f>
        <v>170.86063252395425</v>
      </c>
      <c r="E26" s="166">
        <f>SUMPRODUCT('Memória de Cálculo'!$H$15:$J$17,'Memória de Cálculo'!$H$24:$J$26)/SUM('Memória de Cálculo'!$H$15:$J$17)/0.9075</f>
        <v>170.86063252395428</v>
      </c>
      <c r="F26" s="65">
        <f>SUMPRODUCT('Memória de Cálculo'!$K$15:$M$17,'Memória de Cálculo'!$K$24:$M$26)/SUM('Memória de Cálculo'!$K$15:$M$17)/0.9075</f>
        <v>170.86063252395428</v>
      </c>
    </row>
    <row r="27" spans="2:6" ht="15" x14ac:dyDescent="0.25">
      <c r="B27" s="2"/>
      <c r="C27" s="2"/>
      <c r="D27" s="2"/>
      <c r="E27" s="2"/>
      <c r="F27" s="2"/>
    </row>
    <row r="28" spans="2:6" x14ac:dyDescent="0.3">
      <c r="B28" s="66" t="s">
        <v>79</v>
      </c>
      <c r="C28" s="167">
        <f>AVERAGE('Memória de Cálculo'!$B$50:$D$50)</f>
        <v>232.67676489412247</v>
      </c>
      <c r="D28" s="161">
        <f>AVERAGE('Memória de Cálculo'!$E$50:$G$50)</f>
        <v>233.37519742428017</v>
      </c>
      <c r="E28" s="167">
        <f>AVERAGE('Memória de Cálculo'!$H$50:$J$50)</f>
        <v>234.4199093316879</v>
      </c>
      <c r="F28" s="73">
        <f>AVERAGE('Memória de Cálculo'!$K$50:$M$50)</f>
        <v>234.73666185614266</v>
      </c>
    </row>
    <row r="29" spans="2:6" ht="15" x14ac:dyDescent="0.25">
      <c r="B29" s="2"/>
      <c r="C29" s="2"/>
      <c r="D29" s="2"/>
      <c r="E29" s="2"/>
      <c r="F29" s="2"/>
    </row>
    <row r="30" spans="2:6" x14ac:dyDescent="0.3">
      <c r="B30" s="66" t="s">
        <v>80</v>
      </c>
      <c r="C30" s="168">
        <f>AVERAGE('Memória de Cálculo'!$B$76:$D$76)</f>
        <v>175.42999999999998</v>
      </c>
      <c r="D30" s="162">
        <f>AVERAGE('Memória de Cálculo'!$E$76:$G$76)</f>
        <v>175.42999999999998</v>
      </c>
      <c r="E30" s="168">
        <f>AVERAGE('Memória de Cálculo'!$H$76:$J$76)</f>
        <v>175.42999999999998</v>
      </c>
      <c r="F30" s="67">
        <f>AVERAGE('Memória de Cálculo'!$K$76:$M$76)</f>
        <v>175.42999999999998</v>
      </c>
    </row>
    <row r="31" spans="2:6" ht="15" x14ac:dyDescent="0.25">
      <c r="B31" s="2"/>
      <c r="C31" s="2"/>
      <c r="D31" s="2"/>
      <c r="E31" s="2"/>
      <c r="F31" s="2"/>
    </row>
    <row r="32" spans="2:6" ht="15" x14ac:dyDescent="0.25">
      <c r="B32" s="2"/>
      <c r="C32" s="2"/>
      <c r="D32" s="2"/>
      <c r="E32" s="2"/>
      <c r="F32" s="2"/>
    </row>
    <row r="33" spans="2:6" ht="15" x14ac:dyDescent="0.25">
      <c r="B33" s="2"/>
      <c r="C33" s="2"/>
      <c r="D33" s="2"/>
      <c r="E33" s="2"/>
      <c r="F33" s="2"/>
    </row>
    <row r="34" spans="2:6" ht="15" x14ac:dyDescent="0.25">
      <c r="B34" s="2"/>
      <c r="C34" s="2"/>
      <c r="D34" s="2"/>
      <c r="E34" s="2"/>
      <c r="F34" s="2"/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9"/>
  <sheetViews>
    <sheetView workbookViewId="0">
      <selection activeCell="J20" sqref="J20"/>
    </sheetView>
  </sheetViews>
  <sheetFormatPr defaultRowHeight="14.4" x14ac:dyDescent="0.3"/>
  <sheetData>
    <row r="2" spans="1:13" ht="15" x14ac:dyDescent="0.25">
      <c r="A2" s="144" t="s">
        <v>124</v>
      </c>
    </row>
    <row r="3" spans="1:13" ht="15" thickBot="1" x14ac:dyDescent="0.35">
      <c r="A3" s="141" t="s">
        <v>16</v>
      </c>
      <c r="B3" s="142">
        <v>45658</v>
      </c>
      <c r="C3" s="142">
        <v>45689</v>
      </c>
      <c r="D3" s="142">
        <v>45717</v>
      </c>
      <c r="E3" s="142">
        <v>45748</v>
      </c>
      <c r="F3" s="142">
        <v>45778</v>
      </c>
      <c r="G3" s="142">
        <v>45809</v>
      </c>
      <c r="H3" s="142">
        <v>45839</v>
      </c>
      <c r="I3" s="142">
        <v>45870</v>
      </c>
      <c r="J3" s="142">
        <v>45901</v>
      </c>
      <c r="K3" s="142">
        <v>45931</v>
      </c>
      <c r="L3" s="142">
        <v>45962</v>
      </c>
      <c r="M3" s="142">
        <v>45992</v>
      </c>
    </row>
    <row r="4" spans="1:13" ht="15.75" thickBot="1" x14ac:dyDescent="0.3">
      <c r="A4" s="141" t="s">
        <v>30</v>
      </c>
      <c r="B4" s="143">
        <v>211.13</v>
      </c>
      <c r="C4" s="143">
        <v>211.13</v>
      </c>
      <c r="D4" s="143">
        <v>211.13</v>
      </c>
      <c r="E4" s="143">
        <v>211.13</v>
      </c>
      <c r="F4" s="143">
        <v>211.13</v>
      </c>
      <c r="G4" s="143">
        <v>211.13</v>
      </c>
      <c r="H4" s="143">
        <v>211.13</v>
      </c>
      <c r="I4" s="143">
        <v>211.13</v>
      </c>
      <c r="J4" s="143">
        <v>211.13</v>
      </c>
      <c r="K4" s="143">
        <v>211.13</v>
      </c>
      <c r="L4" s="143">
        <v>211.13</v>
      </c>
      <c r="M4" s="143">
        <v>211.13</v>
      </c>
    </row>
    <row r="7" spans="1:13" ht="15" x14ac:dyDescent="0.25">
      <c r="A7" s="144" t="s">
        <v>125</v>
      </c>
    </row>
    <row r="8" spans="1:13" ht="15" thickBot="1" x14ac:dyDescent="0.35">
      <c r="A8" s="141" t="s">
        <v>16</v>
      </c>
      <c r="B8" s="142">
        <v>45658</v>
      </c>
      <c r="C8" s="142">
        <v>45689</v>
      </c>
      <c r="D8" s="142">
        <v>45717</v>
      </c>
      <c r="E8" s="142">
        <v>45748</v>
      </c>
      <c r="F8" s="142">
        <v>45778</v>
      </c>
      <c r="G8" s="142">
        <v>45809</v>
      </c>
      <c r="H8" s="142">
        <v>45839</v>
      </c>
      <c r="I8" s="142">
        <v>45870</v>
      </c>
      <c r="J8" s="142">
        <v>45901</v>
      </c>
      <c r="K8" s="142">
        <v>45931</v>
      </c>
      <c r="L8" s="142">
        <v>45962</v>
      </c>
      <c r="M8" s="142">
        <v>45992</v>
      </c>
    </row>
    <row r="9" spans="1:13" ht="15.75" thickBot="1" x14ac:dyDescent="0.3">
      <c r="A9" s="141" t="s">
        <v>30</v>
      </c>
      <c r="B9" s="143">
        <v>175.43</v>
      </c>
      <c r="C9" s="143">
        <v>175.43</v>
      </c>
      <c r="D9" s="143">
        <v>175.43</v>
      </c>
      <c r="E9" s="143">
        <v>175.43</v>
      </c>
      <c r="F9" s="143">
        <v>175.43</v>
      </c>
      <c r="G9" s="143">
        <v>175.43</v>
      </c>
      <c r="H9" s="143">
        <v>175.43</v>
      </c>
      <c r="I9" s="143">
        <v>175.43</v>
      </c>
      <c r="J9" s="143">
        <v>175.43</v>
      </c>
      <c r="K9" s="143">
        <v>175.43</v>
      </c>
      <c r="L9" s="143">
        <v>175.43</v>
      </c>
      <c r="M9" s="143">
        <v>175.43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95"/>
  <sheetViews>
    <sheetView topLeftCell="I41" workbookViewId="0">
      <selection activeCell="S71" sqref="S71"/>
    </sheetView>
  </sheetViews>
  <sheetFormatPr defaultRowHeight="13.2" x14ac:dyDescent="0.25"/>
  <cols>
    <col min="1" max="1" width="9.109375" style="15"/>
    <col min="2" max="2" width="21.44140625" style="15" customWidth="1"/>
    <col min="3" max="3" width="15.5546875" style="15" customWidth="1"/>
    <col min="4" max="4" width="21.5546875" style="15" customWidth="1"/>
    <col min="5" max="5" width="14.44140625" style="15" customWidth="1"/>
    <col min="6" max="6" width="5.109375" style="15" customWidth="1"/>
    <col min="7" max="7" width="16.33203125" style="15" customWidth="1"/>
    <col min="8" max="9" width="17.109375" style="15" customWidth="1"/>
    <col min="10" max="10" width="5.109375" style="15" customWidth="1"/>
    <col min="11" max="11" width="26.5546875" style="15" customWidth="1"/>
    <col min="12" max="12" width="26.88671875" style="15" customWidth="1"/>
    <col min="13" max="13" width="9.5546875" style="15" bestFit="1" customWidth="1"/>
    <col min="14" max="14" width="5.109375" style="15" customWidth="1"/>
    <col min="15" max="15" width="12.88671875" style="15" customWidth="1"/>
    <col min="16" max="16" width="14.109375" style="15" customWidth="1"/>
    <col min="17" max="17" width="18.88671875" style="15" customWidth="1"/>
    <col min="18" max="18" width="8.6640625" style="15" customWidth="1"/>
    <col min="19" max="20" width="18.88671875" style="15" customWidth="1"/>
    <col min="21" max="21" width="5.44140625" style="15" customWidth="1"/>
    <col min="22" max="22" width="10.33203125" style="15" customWidth="1"/>
    <col min="23" max="25" width="9.5546875" style="15" customWidth="1"/>
    <col min="26" max="257" width="9.109375" style="15"/>
    <col min="258" max="258" width="21.44140625" style="15" customWidth="1"/>
    <col min="259" max="259" width="15.5546875" style="15" customWidth="1"/>
    <col min="260" max="260" width="21.5546875" style="15" customWidth="1"/>
    <col min="261" max="261" width="14.44140625" style="15" customWidth="1"/>
    <col min="262" max="262" width="5.109375" style="15" customWidth="1"/>
    <col min="263" max="263" width="16.33203125" style="15" customWidth="1"/>
    <col min="264" max="265" width="17.109375" style="15" customWidth="1"/>
    <col min="266" max="266" width="5.109375" style="15" customWidth="1"/>
    <col min="267" max="267" width="26.5546875" style="15" customWidth="1"/>
    <col min="268" max="268" width="26.88671875" style="15" customWidth="1"/>
    <col min="269" max="269" width="9.5546875" style="15" bestFit="1" customWidth="1"/>
    <col min="270" max="270" width="5.109375" style="15" customWidth="1"/>
    <col min="271" max="271" width="12.88671875" style="15" customWidth="1"/>
    <col min="272" max="272" width="14.109375" style="15" customWidth="1"/>
    <col min="273" max="273" width="18.88671875" style="15" customWidth="1"/>
    <col min="274" max="274" width="8.6640625" style="15" customWidth="1"/>
    <col min="275" max="276" width="18.88671875" style="15" customWidth="1"/>
    <col min="277" max="277" width="5.44140625" style="15" customWidth="1"/>
    <col min="278" max="278" width="10.33203125" style="15" customWidth="1"/>
    <col min="279" max="281" width="9.5546875" style="15" customWidth="1"/>
    <col min="282" max="513" width="9.109375" style="15"/>
    <col min="514" max="514" width="21.44140625" style="15" customWidth="1"/>
    <col min="515" max="515" width="15.5546875" style="15" customWidth="1"/>
    <col min="516" max="516" width="21.5546875" style="15" customWidth="1"/>
    <col min="517" max="517" width="14.44140625" style="15" customWidth="1"/>
    <col min="518" max="518" width="5.109375" style="15" customWidth="1"/>
    <col min="519" max="519" width="16.33203125" style="15" customWidth="1"/>
    <col min="520" max="521" width="17.109375" style="15" customWidth="1"/>
    <col min="522" max="522" width="5.109375" style="15" customWidth="1"/>
    <col min="523" max="523" width="26.5546875" style="15" customWidth="1"/>
    <col min="524" max="524" width="26.88671875" style="15" customWidth="1"/>
    <col min="525" max="525" width="9.5546875" style="15" bestFit="1" customWidth="1"/>
    <col min="526" max="526" width="5.109375" style="15" customWidth="1"/>
    <col min="527" max="527" width="12.88671875" style="15" customWidth="1"/>
    <col min="528" max="528" width="14.109375" style="15" customWidth="1"/>
    <col min="529" max="529" width="18.88671875" style="15" customWidth="1"/>
    <col min="530" max="530" width="8.6640625" style="15" customWidth="1"/>
    <col min="531" max="532" width="18.88671875" style="15" customWidth="1"/>
    <col min="533" max="533" width="5.44140625" style="15" customWidth="1"/>
    <col min="534" max="534" width="10.33203125" style="15" customWidth="1"/>
    <col min="535" max="537" width="9.5546875" style="15" customWidth="1"/>
    <col min="538" max="769" width="9.109375" style="15"/>
    <col min="770" max="770" width="21.44140625" style="15" customWidth="1"/>
    <col min="771" max="771" width="15.5546875" style="15" customWidth="1"/>
    <col min="772" max="772" width="21.5546875" style="15" customWidth="1"/>
    <col min="773" max="773" width="14.44140625" style="15" customWidth="1"/>
    <col min="774" max="774" width="5.109375" style="15" customWidth="1"/>
    <col min="775" max="775" width="16.33203125" style="15" customWidth="1"/>
    <col min="776" max="777" width="17.109375" style="15" customWidth="1"/>
    <col min="778" max="778" width="5.109375" style="15" customWidth="1"/>
    <col min="779" max="779" width="26.5546875" style="15" customWidth="1"/>
    <col min="780" max="780" width="26.88671875" style="15" customWidth="1"/>
    <col min="781" max="781" width="9.5546875" style="15" bestFit="1" customWidth="1"/>
    <col min="782" max="782" width="5.109375" style="15" customWidth="1"/>
    <col min="783" max="783" width="12.88671875" style="15" customWidth="1"/>
    <col min="784" max="784" width="14.109375" style="15" customWidth="1"/>
    <col min="785" max="785" width="18.88671875" style="15" customWidth="1"/>
    <col min="786" max="786" width="8.6640625" style="15" customWidth="1"/>
    <col min="787" max="788" width="18.88671875" style="15" customWidth="1"/>
    <col min="789" max="789" width="5.44140625" style="15" customWidth="1"/>
    <col min="790" max="790" width="10.33203125" style="15" customWidth="1"/>
    <col min="791" max="793" width="9.5546875" style="15" customWidth="1"/>
    <col min="794" max="1025" width="9.109375" style="15"/>
    <col min="1026" max="1026" width="21.44140625" style="15" customWidth="1"/>
    <col min="1027" max="1027" width="15.5546875" style="15" customWidth="1"/>
    <col min="1028" max="1028" width="21.5546875" style="15" customWidth="1"/>
    <col min="1029" max="1029" width="14.44140625" style="15" customWidth="1"/>
    <col min="1030" max="1030" width="5.109375" style="15" customWidth="1"/>
    <col min="1031" max="1031" width="16.33203125" style="15" customWidth="1"/>
    <col min="1032" max="1033" width="17.109375" style="15" customWidth="1"/>
    <col min="1034" max="1034" width="5.109375" style="15" customWidth="1"/>
    <col min="1035" max="1035" width="26.5546875" style="15" customWidth="1"/>
    <col min="1036" max="1036" width="26.88671875" style="15" customWidth="1"/>
    <col min="1037" max="1037" width="9.5546875" style="15" bestFit="1" customWidth="1"/>
    <col min="1038" max="1038" width="5.109375" style="15" customWidth="1"/>
    <col min="1039" max="1039" width="12.88671875" style="15" customWidth="1"/>
    <col min="1040" max="1040" width="14.109375" style="15" customWidth="1"/>
    <col min="1041" max="1041" width="18.88671875" style="15" customWidth="1"/>
    <col min="1042" max="1042" width="8.6640625" style="15" customWidth="1"/>
    <col min="1043" max="1044" width="18.88671875" style="15" customWidth="1"/>
    <col min="1045" max="1045" width="5.44140625" style="15" customWidth="1"/>
    <col min="1046" max="1046" width="10.33203125" style="15" customWidth="1"/>
    <col min="1047" max="1049" width="9.5546875" style="15" customWidth="1"/>
    <col min="1050" max="1281" width="9.109375" style="15"/>
    <col min="1282" max="1282" width="21.44140625" style="15" customWidth="1"/>
    <col min="1283" max="1283" width="15.5546875" style="15" customWidth="1"/>
    <col min="1284" max="1284" width="21.5546875" style="15" customWidth="1"/>
    <col min="1285" max="1285" width="14.44140625" style="15" customWidth="1"/>
    <col min="1286" max="1286" width="5.109375" style="15" customWidth="1"/>
    <col min="1287" max="1287" width="16.33203125" style="15" customWidth="1"/>
    <col min="1288" max="1289" width="17.109375" style="15" customWidth="1"/>
    <col min="1290" max="1290" width="5.109375" style="15" customWidth="1"/>
    <col min="1291" max="1291" width="26.5546875" style="15" customWidth="1"/>
    <col min="1292" max="1292" width="26.88671875" style="15" customWidth="1"/>
    <col min="1293" max="1293" width="9.5546875" style="15" bestFit="1" customWidth="1"/>
    <col min="1294" max="1294" width="5.109375" style="15" customWidth="1"/>
    <col min="1295" max="1295" width="12.88671875" style="15" customWidth="1"/>
    <col min="1296" max="1296" width="14.109375" style="15" customWidth="1"/>
    <col min="1297" max="1297" width="18.88671875" style="15" customWidth="1"/>
    <col min="1298" max="1298" width="8.6640625" style="15" customWidth="1"/>
    <col min="1299" max="1300" width="18.88671875" style="15" customWidth="1"/>
    <col min="1301" max="1301" width="5.44140625" style="15" customWidth="1"/>
    <col min="1302" max="1302" width="10.33203125" style="15" customWidth="1"/>
    <col min="1303" max="1305" width="9.5546875" style="15" customWidth="1"/>
    <col min="1306" max="1537" width="9.109375" style="15"/>
    <col min="1538" max="1538" width="21.44140625" style="15" customWidth="1"/>
    <col min="1539" max="1539" width="15.5546875" style="15" customWidth="1"/>
    <col min="1540" max="1540" width="21.5546875" style="15" customWidth="1"/>
    <col min="1541" max="1541" width="14.44140625" style="15" customWidth="1"/>
    <col min="1542" max="1542" width="5.109375" style="15" customWidth="1"/>
    <col min="1543" max="1543" width="16.33203125" style="15" customWidth="1"/>
    <col min="1544" max="1545" width="17.109375" style="15" customWidth="1"/>
    <col min="1546" max="1546" width="5.109375" style="15" customWidth="1"/>
    <col min="1547" max="1547" width="26.5546875" style="15" customWidth="1"/>
    <col min="1548" max="1548" width="26.88671875" style="15" customWidth="1"/>
    <col min="1549" max="1549" width="9.5546875" style="15" bestFit="1" customWidth="1"/>
    <col min="1550" max="1550" width="5.109375" style="15" customWidth="1"/>
    <col min="1551" max="1551" width="12.88671875" style="15" customWidth="1"/>
    <col min="1552" max="1552" width="14.109375" style="15" customWidth="1"/>
    <col min="1553" max="1553" width="18.88671875" style="15" customWidth="1"/>
    <col min="1554" max="1554" width="8.6640625" style="15" customWidth="1"/>
    <col min="1555" max="1556" width="18.88671875" style="15" customWidth="1"/>
    <col min="1557" max="1557" width="5.44140625" style="15" customWidth="1"/>
    <col min="1558" max="1558" width="10.33203125" style="15" customWidth="1"/>
    <col min="1559" max="1561" width="9.5546875" style="15" customWidth="1"/>
    <col min="1562" max="1793" width="9.109375" style="15"/>
    <col min="1794" max="1794" width="21.44140625" style="15" customWidth="1"/>
    <col min="1795" max="1795" width="15.5546875" style="15" customWidth="1"/>
    <col min="1796" max="1796" width="21.5546875" style="15" customWidth="1"/>
    <col min="1797" max="1797" width="14.44140625" style="15" customWidth="1"/>
    <col min="1798" max="1798" width="5.109375" style="15" customWidth="1"/>
    <col min="1799" max="1799" width="16.33203125" style="15" customWidth="1"/>
    <col min="1800" max="1801" width="17.109375" style="15" customWidth="1"/>
    <col min="1802" max="1802" width="5.109375" style="15" customWidth="1"/>
    <col min="1803" max="1803" width="26.5546875" style="15" customWidth="1"/>
    <col min="1804" max="1804" width="26.88671875" style="15" customWidth="1"/>
    <col min="1805" max="1805" width="9.5546875" style="15" bestFit="1" customWidth="1"/>
    <col min="1806" max="1806" width="5.109375" style="15" customWidth="1"/>
    <col min="1807" max="1807" width="12.88671875" style="15" customWidth="1"/>
    <col min="1808" max="1808" width="14.109375" style="15" customWidth="1"/>
    <col min="1809" max="1809" width="18.88671875" style="15" customWidth="1"/>
    <col min="1810" max="1810" width="8.6640625" style="15" customWidth="1"/>
    <col min="1811" max="1812" width="18.88671875" style="15" customWidth="1"/>
    <col min="1813" max="1813" width="5.44140625" style="15" customWidth="1"/>
    <col min="1814" max="1814" width="10.33203125" style="15" customWidth="1"/>
    <col min="1815" max="1817" width="9.5546875" style="15" customWidth="1"/>
    <col min="1818" max="2049" width="9.109375" style="15"/>
    <col min="2050" max="2050" width="21.44140625" style="15" customWidth="1"/>
    <col min="2051" max="2051" width="15.5546875" style="15" customWidth="1"/>
    <col min="2052" max="2052" width="21.5546875" style="15" customWidth="1"/>
    <col min="2053" max="2053" width="14.44140625" style="15" customWidth="1"/>
    <col min="2054" max="2054" width="5.109375" style="15" customWidth="1"/>
    <col min="2055" max="2055" width="16.33203125" style="15" customWidth="1"/>
    <col min="2056" max="2057" width="17.109375" style="15" customWidth="1"/>
    <col min="2058" max="2058" width="5.109375" style="15" customWidth="1"/>
    <col min="2059" max="2059" width="26.5546875" style="15" customWidth="1"/>
    <col min="2060" max="2060" width="26.88671875" style="15" customWidth="1"/>
    <col min="2061" max="2061" width="9.5546875" style="15" bestFit="1" customWidth="1"/>
    <col min="2062" max="2062" width="5.109375" style="15" customWidth="1"/>
    <col min="2063" max="2063" width="12.88671875" style="15" customWidth="1"/>
    <col min="2064" max="2064" width="14.109375" style="15" customWidth="1"/>
    <col min="2065" max="2065" width="18.88671875" style="15" customWidth="1"/>
    <col min="2066" max="2066" width="8.6640625" style="15" customWidth="1"/>
    <col min="2067" max="2068" width="18.88671875" style="15" customWidth="1"/>
    <col min="2069" max="2069" width="5.44140625" style="15" customWidth="1"/>
    <col min="2070" max="2070" width="10.33203125" style="15" customWidth="1"/>
    <col min="2071" max="2073" width="9.5546875" style="15" customWidth="1"/>
    <col min="2074" max="2305" width="9.109375" style="15"/>
    <col min="2306" max="2306" width="21.44140625" style="15" customWidth="1"/>
    <col min="2307" max="2307" width="15.5546875" style="15" customWidth="1"/>
    <col min="2308" max="2308" width="21.5546875" style="15" customWidth="1"/>
    <col min="2309" max="2309" width="14.44140625" style="15" customWidth="1"/>
    <col min="2310" max="2310" width="5.109375" style="15" customWidth="1"/>
    <col min="2311" max="2311" width="16.33203125" style="15" customWidth="1"/>
    <col min="2312" max="2313" width="17.109375" style="15" customWidth="1"/>
    <col min="2314" max="2314" width="5.109375" style="15" customWidth="1"/>
    <col min="2315" max="2315" width="26.5546875" style="15" customWidth="1"/>
    <col min="2316" max="2316" width="26.88671875" style="15" customWidth="1"/>
    <col min="2317" max="2317" width="9.5546875" style="15" bestFit="1" customWidth="1"/>
    <col min="2318" max="2318" width="5.109375" style="15" customWidth="1"/>
    <col min="2319" max="2319" width="12.88671875" style="15" customWidth="1"/>
    <col min="2320" max="2320" width="14.109375" style="15" customWidth="1"/>
    <col min="2321" max="2321" width="18.88671875" style="15" customWidth="1"/>
    <col min="2322" max="2322" width="8.6640625" style="15" customWidth="1"/>
    <col min="2323" max="2324" width="18.88671875" style="15" customWidth="1"/>
    <col min="2325" max="2325" width="5.44140625" style="15" customWidth="1"/>
    <col min="2326" max="2326" width="10.33203125" style="15" customWidth="1"/>
    <col min="2327" max="2329" width="9.5546875" style="15" customWidth="1"/>
    <col min="2330" max="2561" width="9.109375" style="15"/>
    <col min="2562" max="2562" width="21.44140625" style="15" customWidth="1"/>
    <col min="2563" max="2563" width="15.5546875" style="15" customWidth="1"/>
    <col min="2564" max="2564" width="21.5546875" style="15" customWidth="1"/>
    <col min="2565" max="2565" width="14.44140625" style="15" customWidth="1"/>
    <col min="2566" max="2566" width="5.109375" style="15" customWidth="1"/>
    <col min="2567" max="2567" width="16.33203125" style="15" customWidth="1"/>
    <col min="2568" max="2569" width="17.109375" style="15" customWidth="1"/>
    <col min="2570" max="2570" width="5.109375" style="15" customWidth="1"/>
    <col min="2571" max="2571" width="26.5546875" style="15" customWidth="1"/>
    <col min="2572" max="2572" width="26.88671875" style="15" customWidth="1"/>
    <col min="2573" max="2573" width="9.5546875" style="15" bestFit="1" customWidth="1"/>
    <col min="2574" max="2574" width="5.109375" style="15" customWidth="1"/>
    <col min="2575" max="2575" width="12.88671875" style="15" customWidth="1"/>
    <col min="2576" max="2576" width="14.109375" style="15" customWidth="1"/>
    <col min="2577" max="2577" width="18.88671875" style="15" customWidth="1"/>
    <col min="2578" max="2578" width="8.6640625" style="15" customWidth="1"/>
    <col min="2579" max="2580" width="18.88671875" style="15" customWidth="1"/>
    <col min="2581" max="2581" width="5.44140625" style="15" customWidth="1"/>
    <col min="2582" max="2582" width="10.33203125" style="15" customWidth="1"/>
    <col min="2583" max="2585" width="9.5546875" style="15" customWidth="1"/>
    <col min="2586" max="2817" width="9.109375" style="15"/>
    <col min="2818" max="2818" width="21.44140625" style="15" customWidth="1"/>
    <col min="2819" max="2819" width="15.5546875" style="15" customWidth="1"/>
    <col min="2820" max="2820" width="21.5546875" style="15" customWidth="1"/>
    <col min="2821" max="2821" width="14.44140625" style="15" customWidth="1"/>
    <col min="2822" max="2822" width="5.109375" style="15" customWidth="1"/>
    <col min="2823" max="2823" width="16.33203125" style="15" customWidth="1"/>
    <col min="2824" max="2825" width="17.109375" style="15" customWidth="1"/>
    <col min="2826" max="2826" width="5.109375" style="15" customWidth="1"/>
    <col min="2827" max="2827" width="26.5546875" style="15" customWidth="1"/>
    <col min="2828" max="2828" width="26.88671875" style="15" customWidth="1"/>
    <col min="2829" max="2829" width="9.5546875" style="15" bestFit="1" customWidth="1"/>
    <col min="2830" max="2830" width="5.109375" style="15" customWidth="1"/>
    <col min="2831" max="2831" width="12.88671875" style="15" customWidth="1"/>
    <col min="2832" max="2832" width="14.109375" style="15" customWidth="1"/>
    <col min="2833" max="2833" width="18.88671875" style="15" customWidth="1"/>
    <col min="2834" max="2834" width="8.6640625" style="15" customWidth="1"/>
    <col min="2835" max="2836" width="18.88671875" style="15" customWidth="1"/>
    <col min="2837" max="2837" width="5.44140625" style="15" customWidth="1"/>
    <col min="2838" max="2838" width="10.33203125" style="15" customWidth="1"/>
    <col min="2839" max="2841" width="9.5546875" style="15" customWidth="1"/>
    <col min="2842" max="3073" width="9.109375" style="15"/>
    <col min="3074" max="3074" width="21.44140625" style="15" customWidth="1"/>
    <col min="3075" max="3075" width="15.5546875" style="15" customWidth="1"/>
    <col min="3076" max="3076" width="21.5546875" style="15" customWidth="1"/>
    <col min="3077" max="3077" width="14.44140625" style="15" customWidth="1"/>
    <col min="3078" max="3078" width="5.109375" style="15" customWidth="1"/>
    <col min="3079" max="3079" width="16.33203125" style="15" customWidth="1"/>
    <col min="3080" max="3081" width="17.109375" style="15" customWidth="1"/>
    <col min="3082" max="3082" width="5.109375" style="15" customWidth="1"/>
    <col min="3083" max="3083" width="26.5546875" style="15" customWidth="1"/>
    <col min="3084" max="3084" width="26.88671875" style="15" customWidth="1"/>
    <col min="3085" max="3085" width="9.5546875" style="15" bestFit="1" customWidth="1"/>
    <col min="3086" max="3086" width="5.109375" style="15" customWidth="1"/>
    <col min="3087" max="3087" width="12.88671875" style="15" customWidth="1"/>
    <col min="3088" max="3088" width="14.109375" style="15" customWidth="1"/>
    <col min="3089" max="3089" width="18.88671875" style="15" customWidth="1"/>
    <col min="3090" max="3090" width="8.6640625" style="15" customWidth="1"/>
    <col min="3091" max="3092" width="18.88671875" style="15" customWidth="1"/>
    <col min="3093" max="3093" width="5.44140625" style="15" customWidth="1"/>
    <col min="3094" max="3094" width="10.33203125" style="15" customWidth="1"/>
    <col min="3095" max="3097" width="9.5546875" style="15" customWidth="1"/>
    <col min="3098" max="3329" width="9.109375" style="15"/>
    <col min="3330" max="3330" width="21.44140625" style="15" customWidth="1"/>
    <col min="3331" max="3331" width="15.5546875" style="15" customWidth="1"/>
    <col min="3332" max="3332" width="21.5546875" style="15" customWidth="1"/>
    <col min="3333" max="3333" width="14.44140625" style="15" customWidth="1"/>
    <col min="3334" max="3334" width="5.109375" style="15" customWidth="1"/>
    <col min="3335" max="3335" width="16.33203125" style="15" customWidth="1"/>
    <col min="3336" max="3337" width="17.109375" style="15" customWidth="1"/>
    <col min="3338" max="3338" width="5.109375" style="15" customWidth="1"/>
    <col min="3339" max="3339" width="26.5546875" style="15" customWidth="1"/>
    <col min="3340" max="3340" width="26.88671875" style="15" customWidth="1"/>
    <col min="3341" max="3341" width="9.5546875" style="15" bestFit="1" customWidth="1"/>
    <col min="3342" max="3342" width="5.109375" style="15" customWidth="1"/>
    <col min="3343" max="3343" width="12.88671875" style="15" customWidth="1"/>
    <col min="3344" max="3344" width="14.109375" style="15" customWidth="1"/>
    <col min="3345" max="3345" width="18.88671875" style="15" customWidth="1"/>
    <col min="3346" max="3346" width="8.6640625" style="15" customWidth="1"/>
    <col min="3347" max="3348" width="18.88671875" style="15" customWidth="1"/>
    <col min="3349" max="3349" width="5.44140625" style="15" customWidth="1"/>
    <col min="3350" max="3350" width="10.33203125" style="15" customWidth="1"/>
    <col min="3351" max="3353" width="9.5546875" style="15" customWidth="1"/>
    <col min="3354" max="3585" width="9.109375" style="15"/>
    <col min="3586" max="3586" width="21.44140625" style="15" customWidth="1"/>
    <col min="3587" max="3587" width="15.5546875" style="15" customWidth="1"/>
    <col min="3588" max="3588" width="21.5546875" style="15" customWidth="1"/>
    <col min="3589" max="3589" width="14.44140625" style="15" customWidth="1"/>
    <col min="3590" max="3590" width="5.109375" style="15" customWidth="1"/>
    <col min="3591" max="3591" width="16.33203125" style="15" customWidth="1"/>
    <col min="3592" max="3593" width="17.109375" style="15" customWidth="1"/>
    <col min="3594" max="3594" width="5.109375" style="15" customWidth="1"/>
    <col min="3595" max="3595" width="26.5546875" style="15" customWidth="1"/>
    <col min="3596" max="3596" width="26.88671875" style="15" customWidth="1"/>
    <col min="3597" max="3597" width="9.5546875" style="15" bestFit="1" customWidth="1"/>
    <col min="3598" max="3598" width="5.109375" style="15" customWidth="1"/>
    <col min="3599" max="3599" width="12.88671875" style="15" customWidth="1"/>
    <col min="3600" max="3600" width="14.109375" style="15" customWidth="1"/>
    <col min="3601" max="3601" width="18.88671875" style="15" customWidth="1"/>
    <col min="3602" max="3602" width="8.6640625" style="15" customWidth="1"/>
    <col min="3603" max="3604" width="18.88671875" style="15" customWidth="1"/>
    <col min="3605" max="3605" width="5.44140625" style="15" customWidth="1"/>
    <col min="3606" max="3606" width="10.33203125" style="15" customWidth="1"/>
    <col min="3607" max="3609" width="9.5546875" style="15" customWidth="1"/>
    <col min="3610" max="3841" width="9.109375" style="15"/>
    <col min="3842" max="3842" width="21.44140625" style="15" customWidth="1"/>
    <col min="3843" max="3843" width="15.5546875" style="15" customWidth="1"/>
    <col min="3844" max="3844" width="21.5546875" style="15" customWidth="1"/>
    <col min="3845" max="3845" width="14.44140625" style="15" customWidth="1"/>
    <col min="3846" max="3846" width="5.109375" style="15" customWidth="1"/>
    <col min="3847" max="3847" width="16.33203125" style="15" customWidth="1"/>
    <col min="3848" max="3849" width="17.109375" style="15" customWidth="1"/>
    <col min="3850" max="3850" width="5.109375" style="15" customWidth="1"/>
    <col min="3851" max="3851" width="26.5546875" style="15" customWidth="1"/>
    <col min="3852" max="3852" width="26.88671875" style="15" customWidth="1"/>
    <col min="3853" max="3853" width="9.5546875" style="15" bestFit="1" customWidth="1"/>
    <col min="3854" max="3854" width="5.109375" style="15" customWidth="1"/>
    <col min="3855" max="3855" width="12.88671875" style="15" customWidth="1"/>
    <col min="3856" max="3856" width="14.109375" style="15" customWidth="1"/>
    <col min="3857" max="3857" width="18.88671875" style="15" customWidth="1"/>
    <col min="3858" max="3858" width="8.6640625" style="15" customWidth="1"/>
    <col min="3859" max="3860" width="18.88671875" style="15" customWidth="1"/>
    <col min="3861" max="3861" width="5.44140625" style="15" customWidth="1"/>
    <col min="3862" max="3862" width="10.33203125" style="15" customWidth="1"/>
    <col min="3863" max="3865" width="9.5546875" style="15" customWidth="1"/>
    <col min="3866" max="4097" width="9.109375" style="15"/>
    <col min="4098" max="4098" width="21.44140625" style="15" customWidth="1"/>
    <col min="4099" max="4099" width="15.5546875" style="15" customWidth="1"/>
    <col min="4100" max="4100" width="21.5546875" style="15" customWidth="1"/>
    <col min="4101" max="4101" width="14.44140625" style="15" customWidth="1"/>
    <col min="4102" max="4102" width="5.109375" style="15" customWidth="1"/>
    <col min="4103" max="4103" width="16.33203125" style="15" customWidth="1"/>
    <col min="4104" max="4105" width="17.109375" style="15" customWidth="1"/>
    <col min="4106" max="4106" width="5.109375" style="15" customWidth="1"/>
    <col min="4107" max="4107" width="26.5546875" style="15" customWidth="1"/>
    <col min="4108" max="4108" width="26.88671875" style="15" customWidth="1"/>
    <col min="4109" max="4109" width="9.5546875" style="15" bestFit="1" customWidth="1"/>
    <col min="4110" max="4110" width="5.109375" style="15" customWidth="1"/>
    <col min="4111" max="4111" width="12.88671875" style="15" customWidth="1"/>
    <col min="4112" max="4112" width="14.109375" style="15" customWidth="1"/>
    <col min="4113" max="4113" width="18.88671875" style="15" customWidth="1"/>
    <col min="4114" max="4114" width="8.6640625" style="15" customWidth="1"/>
    <col min="4115" max="4116" width="18.88671875" style="15" customWidth="1"/>
    <col min="4117" max="4117" width="5.44140625" style="15" customWidth="1"/>
    <col min="4118" max="4118" width="10.33203125" style="15" customWidth="1"/>
    <col min="4119" max="4121" width="9.5546875" style="15" customWidth="1"/>
    <col min="4122" max="4353" width="9.109375" style="15"/>
    <col min="4354" max="4354" width="21.44140625" style="15" customWidth="1"/>
    <col min="4355" max="4355" width="15.5546875" style="15" customWidth="1"/>
    <col min="4356" max="4356" width="21.5546875" style="15" customWidth="1"/>
    <col min="4357" max="4357" width="14.44140625" style="15" customWidth="1"/>
    <col min="4358" max="4358" width="5.109375" style="15" customWidth="1"/>
    <col min="4359" max="4359" width="16.33203125" style="15" customWidth="1"/>
    <col min="4360" max="4361" width="17.109375" style="15" customWidth="1"/>
    <col min="4362" max="4362" width="5.109375" style="15" customWidth="1"/>
    <col min="4363" max="4363" width="26.5546875" style="15" customWidth="1"/>
    <col min="4364" max="4364" width="26.88671875" style="15" customWidth="1"/>
    <col min="4365" max="4365" width="9.5546875" style="15" bestFit="1" customWidth="1"/>
    <col min="4366" max="4366" width="5.109375" style="15" customWidth="1"/>
    <col min="4367" max="4367" width="12.88671875" style="15" customWidth="1"/>
    <col min="4368" max="4368" width="14.109375" style="15" customWidth="1"/>
    <col min="4369" max="4369" width="18.88671875" style="15" customWidth="1"/>
    <col min="4370" max="4370" width="8.6640625" style="15" customWidth="1"/>
    <col min="4371" max="4372" width="18.88671875" style="15" customWidth="1"/>
    <col min="4373" max="4373" width="5.44140625" style="15" customWidth="1"/>
    <col min="4374" max="4374" width="10.33203125" style="15" customWidth="1"/>
    <col min="4375" max="4377" width="9.5546875" style="15" customWidth="1"/>
    <col min="4378" max="4609" width="9.109375" style="15"/>
    <col min="4610" max="4610" width="21.44140625" style="15" customWidth="1"/>
    <col min="4611" max="4611" width="15.5546875" style="15" customWidth="1"/>
    <col min="4612" max="4612" width="21.5546875" style="15" customWidth="1"/>
    <col min="4613" max="4613" width="14.44140625" style="15" customWidth="1"/>
    <col min="4614" max="4614" width="5.109375" style="15" customWidth="1"/>
    <col min="4615" max="4615" width="16.33203125" style="15" customWidth="1"/>
    <col min="4616" max="4617" width="17.109375" style="15" customWidth="1"/>
    <col min="4618" max="4618" width="5.109375" style="15" customWidth="1"/>
    <col min="4619" max="4619" width="26.5546875" style="15" customWidth="1"/>
    <col min="4620" max="4620" width="26.88671875" style="15" customWidth="1"/>
    <col min="4621" max="4621" width="9.5546875" style="15" bestFit="1" customWidth="1"/>
    <col min="4622" max="4622" width="5.109375" style="15" customWidth="1"/>
    <col min="4623" max="4623" width="12.88671875" style="15" customWidth="1"/>
    <col min="4624" max="4624" width="14.109375" style="15" customWidth="1"/>
    <col min="4625" max="4625" width="18.88671875" style="15" customWidth="1"/>
    <col min="4626" max="4626" width="8.6640625" style="15" customWidth="1"/>
    <col min="4627" max="4628" width="18.88671875" style="15" customWidth="1"/>
    <col min="4629" max="4629" width="5.44140625" style="15" customWidth="1"/>
    <col min="4630" max="4630" width="10.33203125" style="15" customWidth="1"/>
    <col min="4631" max="4633" width="9.5546875" style="15" customWidth="1"/>
    <col min="4634" max="4865" width="9.109375" style="15"/>
    <col min="4866" max="4866" width="21.44140625" style="15" customWidth="1"/>
    <col min="4867" max="4867" width="15.5546875" style="15" customWidth="1"/>
    <col min="4868" max="4868" width="21.5546875" style="15" customWidth="1"/>
    <col min="4869" max="4869" width="14.44140625" style="15" customWidth="1"/>
    <col min="4870" max="4870" width="5.109375" style="15" customWidth="1"/>
    <col min="4871" max="4871" width="16.33203125" style="15" customWidth="1"/>
    <col min="4872" max="4873" width="17.109375" style="15" customWidth="1"/>
    <col min="4874" max="4874" width="5.109375" style="15" customWidth="1"/>
    <col min="4875" max="4875" width="26.5546875" style="15" customWidth="1"/>
    <col min="4876" max="4876" width="26.88671875" style="15" customWidth="1"/>
    <col min="4877" max="4877" width="9.5546875" style="15" bestFit="1" customWidth="1"/>
    <col min="4878" max="4878" width="5.109375" style="15" customWidth="1"/>
    <col min="4879" max="4879" width="12.88671875" style="15" customWidth="1"/>
    <col min="4880" max="4880" width="14.109375" style="15" customWidth="1"/>
    <col min="4881" max="4881" width="18.88671875" style="15" customWidth="1"/>
    <col min="4882" max="4882" width="8.6640625" style="15" customWidth="1"/>
    <col min="4883" max="4884" width="18.88671875" style="15" customWidth="1"/>
    <col min="4885" max="4885" width="5.44140625" style="15" customWidth="1"/>
    <col min="4886" max="4886" width="10.33203125" style="15" customWidth="1"/>
    <col min="4887" max="4889" width="9.5546875" style="15" customWidth="1"/>
    <col min="4890" max="5121" width="9.109375" style="15"/>
    <col min="5122" max="5122" width="21.44140625" style="15" customWidth="1"/>
    <col min="5123" max="5123" width="15.5546875" style="15" customWidth="1"/>
    <col min="5124" max="5124" width="21.5546875" style="15" customWidth="1"/>
    <col min="5125" max="5125" width="14.44140625" style="15" customWidth="1"/>
    <col min="5126" max="5126" width="5.109375" style="15" customWidth="1"/>
    <col min="5127" max="5127" width="16.33203125" style="15" customWidth="1"/>
    <col min="5128" max="5129" width="17.109375" style="15" customWidth="1"/>
    <col min="5130" max="5130" width="5.109375" style="15" customWidth="1"/>
    <col min="5131" max="5131" width="26.5546875" style="15" customWidth="1"/>
    <col min="5132" max="5132" width="26.88671875" style="15" customWidth="1"/>
    <col min="5133" max="5133" width="9.5546875" style="15" bestFit="1" customWidth="1"/>
    <col min="5134" max="5134" width="5.109375" style="15" customWidth="1"/>
    <col min="5135" max="5135" width="12.88671875" style="15" customWidth="1"/>
    <col min="5136" max="5136" width="14.109375" style="15" customWidth="1"/>
    <col min="5137" max="5137" width="18.88671875" style="15" customWidth="1"/>
    <col min="5138" max="5138" width="8.6640625" style="15" customWidth="1"/>
    <col min="5139" max="5140" width="18.88671875" style="15" customWidth="1"/>
    <col min="5141" max="5141" width="5.44140625" style="15" customWidth="1"/>
    <col min="5142" max="5142" width="10.33203125" style="15" customWidth="1"/>
    <col min="5143" max="5145" width="9.5546875" style="15" customWidth="1"/>
    <col min="5146" max="5377" width="9.109375" style="15"/>
    <col min="5378" max="5378" width="21.44140625" style="15" customWidth="1"/>
    <col min="5379" max="5379" width="15.5546875" style="15" customWidth="1"/>
    <col min="5380" max="5380" width="21.5546875" style="15" customWidth="1"/>
    <col min="5381" max="5381" width="14.44140625" style="15" customWidth="1"/>
    <col min="5382" max="5382" width="5.109375" style="15" customWidth="1"/>
    <col min="5383" max="5383" width="16.33203125" style="15" customWidth="1"/>
    <col min="5384" max="5385" width="17.109375" style="15" customWidth="1"/>
    <col min="5386" max="5386" width="5.109375" style="15" customWidth="1"/>
    <col min="5387" max="5387" width="26.5546875" style="15" customWidth="1"/>
    <col min="5388" max="5388" width="26.88671875" style="15" customWidth="1"/>
    <col min="5389" max="5389" width="9.5546875" style="15" bestFit="1" customWidth="1"/>
    <col min="5390" max="5390" width="5.109375" style="15" customWidth="1"/>
    <col min="5391" max="5391" width="12.88671875" style="15" customWidth="1"/>
    <col min="5392" max="5392" width="14.109375" style="15" customWidth="1"/>
    <col min="5393" max="5393" width="18.88671875" style="15" customWidth="1"/>
    <col min="5394" max="5394" width="8.6640625" style="15" customWidth="1"/>
    <col min="5395" max="5396" width="18.88671875" style="15" customWidth="1"/>
    <col min="5397" max="5397" width="5.44140625" style="15" customWidth="1"/>
    <col min="5398" max="5398" width="10.33203125" style="15" customWidth="1"/>
    <col min="5399" max="5401" width="9.5546875" style="15" customWidth="1"/>
    <col min="5402" max="5633" width="9.109375" style="15"/>
    <col min="5634" max="5634" width="21.44140625" style="15" customWidth="1"/>
    <col min="5635" max="5635" width="15.5546875" style="15" customWidth="1"/>
    <col min="5636" max="5636" width="21.5546875" style="15" customWidth="1"/>
    <col min="5637" max="5637" width="14.44140625" style="15" customWidth="1"/>
    <col min="5638" max="5638" width="5.109375" style="15" customWidth="1"/>
    <col min="5639" max="5639" width="16.33203125" style="15" customWidth="1"/>
    <col min="5640" max="5641" width="17.109375" style="15" customWidth="1"/>
    <col min="5642" max="5642" width="5.109375" style="15" customWidth="1"/>
    <col min="5643" max="5643" width="26.5546875" style="15" customWidth="1"/>
    <col min="5644" max="5644" width="26.88671875" style="15" customWidth="1"/>
    <col min="5645" max="5645" width="9.5546875" style="15" bestFit="1" customWidth="1"/>
    <col min="5646" max="5646" width="5.109375" style="15" customWidth="1"/>
    <col min="5647" max="5647" width="12.88671875" style="15" customWidth="1"/>
    <col min="5648" max="5648" width="14.109375" style="15" customWidth="1"/>
    <col min="5649" max="5649" width="18.88671875" style="15" customWidth="1"/>
    <col min="5650" max="5650" width="8.6640625" style="15" customWidth="1"/>
    <col min="5651" max="5652" width="18.88671875" style="15" customWidth="1"/>
    <col min="5653" max="5653" width="5.44140625" style="15" customWidth="1"/>
    <col min="5654" max="5654" width="10.33203125" style="15" customWidth="1"/>
    <col min="5655" max="5657" width="9.5546875" style="15" customWidth="1"/>
    <col min="5658" max="5889" width="9.109375" style="15"/>
    <col min="5890" max="5890" width="21.44140625" style="15" customWidth="1"/>
    <col min="5891" max="5891" width="15.5546875" style="15" customWidth="1"/>
    <col min="5892" max="5892" width="21.5546875" style="15" customWidth="1"/>
    <col min="5893" max="5893" width="14.44140625" style="15" customWidth="1"/>
    <col min="5894" max="5894" width="5.109375" style="15" customWidth="1"/>
    <col min="5895" max="5895" width="16.33203125" style="15" customWidth="1"/>
    <col min="5896" max="5897" width="17.109375" style="15" customWidth="1"/>
    <col min="5898" max="5898" width="5.109375" style="15" customWidth="1"/>
    <col min="5899" max="5899" width="26.5546875" style="15" customWidth="1"/>
    <col min="5900" max="5900" width="26.88671875" style="15" customWidth="1"/>
    <col min="5901" max="5901" width="9.5546875" style="15" bestFit="1" customWidth="1"/>
    <col min="5902" max="5902" width="5.109375" style="15" customWidth="1"/>
    <col min="5903" max="5903" width="12.88671875" style="15" customWidth="1"/>
    <col min="5904" max="5904" width="14.109375" style="15" customWidth="1"/>
    <col min="5905" max="5905" width="18.88671875" style="15" customWidth="1"/>
    <col min="5906" max="5906" width="8.6640625" style="15" customWidth="1"/>
    <col min="5907" max="5908" width="18.88671875" style="15" customWidth="1"/>
    <col min="5909" max="5909" width="5.44140625" style="15" customWidth="1"/>
    <col min="5910" max="5910" width="10.33203125" style="15" customWidth="1"/>
    <col min="5911" max="5913" width="9.5546875" style="15" customWidth="1"/>
    <col min="5914" max="6145" width="9.109375" style="15"/>
    <col min="6146" max="6146" width="21.44140625" style="15" customWidth="1"/>
    <col min="6147" max="6147" width="15.5546875" style="15" customWidth="1"/>
    <col min="6148" max="6148" width="21.5546875" style="15" customWidth="1"/>
    <col min="6149" max="6149" width="14.44140625" style="15" customWidth="1"/>
    <col min="6150" max="6150" width="5.109375" style="15" customWidth="1"/>
    <col min="6151" max="6151" width="16.33203125" style="15" customWidth="1"/>
    <col min="6152" max="6153" width="17.109375" style="15" customWidth="1"/>
    <col min="6154" max="6154" width="5.109375" style="15" customWidth="1"/>
    <col min="6155" max="6155" width="26.5546875" style="15" customWidth="1"/>
    <col min="6156" max="6156" width="26.88671875" style="15" customWidth="1"/>
    <col min="6157" max="6157" width="9.5546875" style="15" bestFit="1" customWidth="1"/>
    <col min="6158" max="6158" width="5.109375" style="15" customWidth="1"/>
    <col min="6159" max="6159" width="12.88671875" style="15" customWidth="1"/>
    <col min="6160" max="6160" width="14.109375" style="15" customWidth="1"/>
    <col min="6161" max="6161" width="18.88671875" style="15" customWidth="1"/>
    <col min="6162" max="6162" width="8.6640625" style="15" customWidth="1"/>
    <col min="6163" max="6164" width="18.88671875" style="15" customWidth="1"/>
    <col min="6165" max="6165" width="5.44140625" style="15" customWidth="1"/>
    <col min="6166" max="6166" width="10.33203125" style="15" customWidth="1"/>
    <col min="6167" max="6169" width="9.5546875" style="15" customWidth="1"/>
    <col min="6170" max="6401" width="9.109375" style="15"/>
    <col min="6402" max="6402" width="21.44140625" style="15" customWidth="1"/>
    <col min="6403" max="6403" width="15.5546875" style="15" customWidth="1"/>
    <col min="6404" max="6404" width="21.5546875" style="15" customWidth="1"/>
    <col min="6405" max="6405" width="14.44140625" style="15" customWidth="1"/>
    <col min="6406" max="6406" width="5.109375" style="15" customWidth="1"/>
    <col min="6407" max="6407" width="16.33203125" style="15" customWidth="1"/>
    <col min="6408" max="6409" width="17.109375" style="15" customWidth="1"/>
    <col min="6410" max="6410" width="5.109375" style="15" customWidth="1"/>
    <col min="6411" max="6411" width="26.5546875" style="15" customWidth="1"/>
    <col min="6412" max="6412" width="26.88671875" style="15" customWidth="1"/>
    <col min="6413" max="6413" width="9.5546875" style="15" bestFit="1" customWidth="1"/>
    <col min="6414" max="6414" width="5.109375" style="15" customWidth="1"/>
    <col min="6415" max="6415" width="12.88671875" style="15" customWidth="1"/>
    <col min="6416" max="6416" width="14.109375" style="15" customWidth="1"/>
    <col min="6417" max="6417" width="18.88671875" style="15" customWidth="1"/>
    <col min="6418" max="6418" width="8.6640625" style="15" customWidth="1"/>
    <col min="6419" max="6420" width="18.88671875" style="15" customWidth="1"/>
    <col min="6421" max="6421" width="5.44140625" style="15" customWidth="1"/>
    <col min="6422" max="6422" width="10.33203125" style="15" customWidth="1"/>
    <col min="6423" max="6425" width="9.5546875" style="15" customWidth="1"/>
    <col min="6426" max="6657" width="9.109375" style="15"/>
    <col min="6658" max="6658" width="21.44140625" style="15" customWidth="1"/>
    <col min="6659" max="6659" width="15.5546875" style="15" customWidth="1"/>
    <col min="6660" max="6660" width="21.5546875" style="15" customWidth="1"/>
    <col min="6661" max="6661" width="14.44140625" style="15" customWidth="1"/>
    <col min="6662" max="6662" width="5.109375" style="15" customWidth="1"/>
    <col min="6663" max="6663" width="16.33203125" style="15" customWidth="1"/>
    <col min="6664" max="6665" width="17.109375" style="15" customWidth="1"/>
    <col min="6666" max="6666" width="5.109375" style="15" customWidth="1"/>
    <col min="6667" max="6667" width="26.5546875" style="15" customWidth="1"/>
    <col min="6668" max="6668" width="26.88671875" style="15" customWidth="1"/>
    <col min="6669" max="6669" width="9.5546875" style="15" bestFit="1" customWidth="1"/>
    <col min="6670" max="6670" width="5.109375" style="15" customWidth="1"/>
    <col min="6671" max="6671" width="12.88671875" style="15" customWidth="1"/>
    <col min="6672" max="6672" width="14.109375" style="15" customWidth="1"/>
    <col min="6673" max="6673" width="18.88671875" style="15" customWidth="1"/>
    <col min="6674" max="6674" width="8.6640625" style="15" customWidth="1"/>
    <col min="6675" max="6676" width="18.88671875" style="15" customWidth="1"/>
    <col min="6677" max="6677" width="5.44140625" style="15" customWidth="1"/>
    <col min="6678" max="6678" width="10.33203125" style="15" customWidth="1"/>
    <col min="6679" max="6681" width="9.5546875" style="15" customWidth="1"/>
    <col min="6682" max="6913" width="9.109375" style="15"/>
    <col min="6914" max="6914" width="21.44140625" style="15" customWidth="1"/>
    <col min="6915" max="6915" width="15.5546875" style="15" customWidth="1"/>
    <col min="6916" max="6916" width="21.5546875" style="15" customWidth="1"/>
    <col min="6917" max="6917" width="14.44140625" style="15" customWidth="1"/>
    <col min="6918" max="6918" width="5.109375" style="15" customWidth="1"/>
    <col min="6919" max="6919" width="16.33203125" style="15" customWidth="1"/>
    <col min="6920" max="6921" width="17.109375" style="15" customWidth="1"/>
    <col min="6922" max="6922" width="5.109375" style="15" customWidth="1"/>
    <col min="6923" max="6923" width="26.5546875" style="15" customWidth="1"/>
    <col min="6924" max="6924" width="26.88671875" style="15" customWidth="1"/>
    <col min="6925" max="6925" width="9.5546875" style="15" bestFit="1" customWidth="1"/>
    <col min="6926" max="6926" width="5.109375" style="15" customWidth="1"/>
    <col min="6927" max="6927" width="12.88671875" style="15" customWidth="1"/>
    <col min="6928" max="6928" width="14.109375" style="15" customWidth="1"/>
    <col min="6929" max="6929" width="18.88671875" style="15" customWidth="1"/>
    <col min="6930" max="6930" width="8.6640625" style="15" customWidth="1"/>
    <col min="6931" max="6932" width="18.88671875" style="15" customWidth="1"/>
    <col min="6933" max="6933" width="5.44140625" style="15" customWidth="1"/>
    <col min="6934" max="6934" width="10.33203125" style="15" customWidth="1"/>
    <col min="6935" max="6937" width="9.5546875" style="15" customWidth="1"/>
    <col min="6938" max="7169" width="9.109375" style="15"/>
    <col min="7170" max="7170" width="21.44140625" style="15" customWidth="1"/>
    <col min="7171" max="7171" width="15.5546875" style="15" customWidth="1"/>
    <col min="7172" max="7172" width="21.5546875" style="15" customWidth="1"/>
    <col min="7173" max="7173" width="14.44140625" style="15" customWidth="1"/>
    <col min="7174" max="7174" width="5.109375" style="15" customWidth="1"/>
    <col min="7175" max="7175" width="16.33203125" style="15" customWidth="1"/>
    <col min="7176" max="7177" width="17.109375" style="15" customWidth="1"/>
    <col min="7178" max="7178" width="5.109375" style="15" customWidth="1"/>
    <col min="7179" max="7179" width="26.5546875" style="15" customWidth="1"/>
    <col min="7180" max="7180" width="26.88671875" style="15" customWidth="1"/>
    <col min="7181" max="7181" width="9.5546875" style="15" bestFit="1" customWidth="1"/>
    <col min="7182" max="7182" width="5.109375" style="15" customWidth="1"/>
    <col min="7183" max="7183" width="12.88671875" style="15" customWidth="1"/>
    <col min="7184" max="7184" width="14.109375" style="15" customWidth="1"/>
    <col min="7185" max="7185" width="18.88671875" style="15" customWidth="1"/>
    <col min="7186" max="7186" width="8.6640625" style="15" customWidth="1"/>
    <col min="7187" max="7188" width="18.88671875" style="15" customWidth="1"/>
    <col min="7189" max="7189" width="5.44140625" style="15" customWidth="1"/>
    <col min="7190" max="7190" width="10.33203125" style="15" customWidth="1"/>
    <col min="7191" max="7193" width="9.5546875" style="15" customWidth="1"/>
    <col min="7194" max="7425" width="9.109375" style="15"/>
    <col min="7426" max="7426" width="21.44140625" style="15" customWidth="1"/>
    <col min="7427" max="7427" width="15.5546875" style="15" customWidth="1"/>
    <col min="7428" max="7428" width="21.5546875" style="15" customWidth="1"/>
    <col min="7429" max="7429" width="14.44140625" style="15" customWidth="1"/>
    <col min="7430" max="7430" width="5.109375" style="15" customWidth="1"/>
    <col min="7431" max="7431" width="16.33203125" style="15" customWidth="1"/>
    <col min="7432" max="7433" width="17.109375" style="15" customWidth="1"/>
    <col min="7434" max="7434" width="5.109375" style="15" customWidth="1"/>
    <col min="7435" max="7435" width="26.5546875" style="15" customWidth="1"/>
    <col min="7436" max="7436" width="26.88671875" style="15" customWidth="1"/>
    <col min="7437" max="7437" width="9.5546875" style="15" bestFit="1" customWidth="1"/>
    <col min="7438" max="7438" width="5.109375" style="15" customWidth="1"/>
    <col min="7439" max="7439" width="12.88671875" style="15" customWidth="1"/>
    <col min="7440" max="7440" width="14.109375" style="15" customWidth="1"/>
    <col min="7441" max="7441" width="18.88671875" style="15" customWidth="1"/>
    <col min="7442" max="7442" width="8.6640625" style="15" customWidth="1"/>
    <col min="7443" max="7444" width="18.88671875" style="15" customWidth="1"/>
    <col min="7445" max="7445" width="5.44140625" style="15" customWidth="1"/>
    <col min="7446" max="7446" width="10.33203125" style="15" customWidth="1"/>
    <col min="7447" max="7449" width="9.5546875" style="15" customWidth="1"/>
    <col min="7450" max="7681" width="9.109375" style="15"/>
    <col min="7682" max="7682" width="21.44140625" style="15" customWidth="1"/>
    <col min="7683" max="7683" width="15.5546875" style="15" customWidth="1"/>
    <col min="7684" max="7684" width="21.5546875" style="15" customWidth="1"/>
    <col min="7685" max="7685" width="14.44140625" style="15" customWidth="1"/>
    <col min="7686" max="7686" width="5.109375" style="15" customWidth="1"/>
    <col min="7687" max="7687" width="16.33203125" style="15" customWidth="1"/>
    <col min="7688" max="7689" width="17.109375" style="15" customWidth="1"/>
    <col min="7690" max="7690" width="5.109375" style="15" customWidth="1"/>
    <col min="7691" max="7691" width="26.5546875" style="15" customWidth="1"/>
    <col min="7692" max="7692" width="26.88671875" style="15" customWidth="1"/>
    <col min="7693" max="7693" width="9.5546875" style="15" bestFit="1" customWidth="1"/>
    <col min="7694" max="7694" width="5.109375" style="15" customWidth="1"/>
    <col min="7695" max="7695" width="12.88671875" style="15" customWidth="1"/>
    <col min="7696" max="7696" width="14.109375" style="15" customWidth="1"/>
    <col min="7697" max="7697" width="18.88671875" style="15" customWidth="1"/>
    <col min="7698" max="7698" width="8.6640625" style="15" customWidth="1"/>
    <col min="7699" max="7700" width="18.88671875" style="15" customWidth="1"/>
    <col min="7701" max="7701" width="5.44140625" style="15" customWidth="1"/>
    <col min="7702" max="7702" width="10.33203125" style="15" customWidth="1"/>
    <col min="7703" max="7705" width="9.5546875" style="15" customWidth="1"/>
    <col min="7706" max="7937" width="9.109375" style="15"/>
    <col min="7938" max="7938" width="21.44140625" style="15" customWidth="1"/>
    <col min="7939" max="7939" width="15.5546875" style="15" customWidth="1"/>
    <col min="7940" max="7940" width="21.5546875" style="15" customWidth="1"/>
    <col min="7941" max="7941" width="14.44140625" style="15" customWidth="1"/>
    <col min="7942" max="7942" width="5.109375" style="15" customWidth="1"/>
    <col min="7943" max="7943" width="16.33203125" style="15" customWidth="1"/>
    <col min="7944" max="7945" width="17.109375" style="15" customWidth="1"/>
    <col min="7946" max="7946" width="5.109375" style="15" customWidth="1"/>
    <col min="7947" max="7947" width="26.5546875" style="15" customWidth="1"/>
    <col min="7948" max="7948" width="26.88671875" style="15" customWidth="1"/>
    <col min="7949" max="7949" width="9.5546875" style="15" bestFit="1" customWidth="1"/>
    <col min="7950" max="7950" width="5.109375" style="15" customWidth="1"/>
    <col min="7951" max="7951" width="12.88671875" style="15" customWidth="1"/>
    <col min="7952" max="7952" width="14.109375" style="15" customWidth="1"/>
    <col min="7953" max="7953" width="18.88671875" style="15" customWidth="1"/>
    <col min="7954" max="7954" width="8.6640625" style="15" customWidth="1"/>
    <col min="7955" max="7956" width="18.88671875" style="15" customWidth="1"/>
    <col min="7957" max="7957" width="5.44140625" style="15" customWidth="1"/>
    <col min="7958" max="7958" width="10.33203125" style="15" customWidth="1"/>
    <col min="7959" max="7961" width="9.5546875" style="15" customWidth="1"/>
    <col min="7962" max="8193" width="9.109375" style="15"/>
    <col min="8194" max="8194" width="21.44140625" style="15" customWidth="1"/>
    <col min="8195" max="8195" width="15.5546875" style="15" customWidth="1"/>
    <col min="8196" max="8196" width="21.5546875" style="15" customWidth="1"/>
    <col min="8197" max="8197" width="14.44140625" style="15" customWidth="1"/>
    <col min="8198" max="8198" width="5.109375" style="15" customWidth="1"/>
    <col min="8199" max="8199" width="16.33203125" style="15" customWidth="1"/>
    <col min="8200" max="8201" width="17.109375" style="15" customWidth="1"/>
    <col min="8202" max="8202" width="5.109375" style="15" customWidth="1"/>
    <col min="8203" max="8203" width="26.5546875" style="15" customWidth="1"/>
    <col min="8204" max="8204" width="26.88671875" style="15" customWidth="1"/>
    <col min="8205" max="8205" width="9.5546875" style="15" bestFit="1" customWidth="1"/>
    <col min="8206" max="8206" width="5.109375" style="15" customWidth="1"/>
    <col min="8207" max="8207" width="12.88671875" style="15" customWidth="1"/>
    <col min="8208" max="8208" width="14.109375" style="15" customWidth="1"/>
    <col min="8209" max="8209" width="18.88671875" style="15" customWidth="1"/>
    <col min="8210" max="8210" width="8.6640625" style="15" customWidth="1"/>
    <col min="8211" max="8212" width="18.88671875" style="15" customWidth="1"/>
    <col min="8213" max="8213" width="5.44140625" style="15" customWidth="1"/>
    <col min="8214" max="8214" width="10.33203125" style="15" customWidth="1"/>
    <col min="8215" max="8217" width="9.5546875" style="15" customWidth="1"/>
    <col min="8218" max="8449" width="9.109375" style="15"/>
    <col min="8450" max="8450" width="21.44140625" style="15" customWidth="1"/>
    <col min="8451" max="8451" width="15.5546875" style="15" customWidth="1"/>
    <col min="8452" max="8452" width="21.5546875" style="15" customWidth="1"/>
    <col min="8453" max="8453" width="14.44140625" style="15" customWidth="1"/>
    <col min="8454" max="8454" width="5.109375" style="15" customWidth="1"/>
    <col min="8455" max="8455" width="16.33203125" style="15" customWidth="1"/>
    <col min="8456" max="8457" width="17.109375" style="15" customWidth="1"/>
    <col min="8458" max="8458" width="5.109375" style="15" customWidth="1"/>
    <col min="8459" max="8459" width="26.5546875" style="15" customWidth="1"/>
    <col min="8460" max="8460" width="26.88671875" style="15" customWidth="1"/>
    <col min="8461" max="8461" width="9.5546875" style="15" bestFit="1" customWidth="1"/>
    <col min="8462" max="8462" width="5.109375" style="15" customWidth="1"/>
    <col min="8463" max="8463" width="12.88671875" style="15" customWidth="1"/>
    <col min="8464" max="8464" width="14.109375" style="15" customWidth="1"/>
    <col min="8465" max="8465" width="18.88671875" style="15" customWidth="1"/>
    <col min="8466" max="8466" width="8.6640625" style="15" customWidth="1"/>
    <col min="8467" max="8468" width="18.88671875" style="15" customWidth="1"/>
    <col min="8469" max="8469" width="5.44140625" style="15" customWidth="1"/>
    <col min="8470" max="8470" width="10.33203125" style="15" customWidth="1"/>
    <col min="8471" max="8473" width="9.5546875" style="15" customWidth="1"/>
    <col min="8474" max="8705" width="9.109375" style="15"/>
    <col min="8706" max="8706" width="21.44140625" style="15" customWidth="1"/>
    <col min="8707" max="8707" width="15.5546875" style="15" customWidth="1"/>
    <col min="8708" max="8708" width="21.5546875" style="15" customWidth="1"/>
    <col min="8709" max="8709" width="14.44140625" style="15" customWidth="1"/>
    <col min="8710" max="8710" width="5.109375" style="15" customWidth="1"/>
    <col min="8711" max="8711" width="16.33203125" style="15" customWidth="1"/>
    <col min="8712" max="8713" width="17.109375" style="15" customWidth="1"/>
    <col min="8714" max="8714" width="5.109375" style="15" customWidth="1"/>
    <col min="8715" max="8715" width="26.5546875" style="15" customWidth="1"/>
    <col min="8716" max="8716" width="26.88671875" style="15" customWidth="1"/>
    <col min="8717" max="8717" width="9.5546875" style="15" bestFit="1" customWidth="1"/>
    <col min="8718" max="8718" width="5.109375" style="15" customWidth="1"/>
    <col min="8719" max="8719" width="12.88671875" style="15" customWidth="1"/>
    <col min="8720" max="8720" width="14.109375" style="15" customWidth="1"/>
    <col min="8721" max="8721" width="18.88671875" style="15" customWidth="1"/>
    <col min="8722" max="8722" width="8.6640625" style="15" customWidth="1"/>
    <col min="8723" max="8724" width="18.88671875" style="15" customWidth="1"/>
    <col min="8725" max="8725" width="5.44140625" style="15" customWidth="1"/>
    <col min="8726" max="8726" width="10.33203125" style="15" customWidth="1"/>
    <col min="8727" max="8729" width="9.5546875" style="15" customWidth="1"/>
    <col min="8730" max="8961" width="9.109375" style="15"/>
    <col min="8962" max="8962" width="21.44140625" style="15" customWidth="1"/>
    <col min="8963" max="8963" width="15.5546875" style="15" customWidth="1"/>
    <col min="8964" max="8964" width="21.5546875" style="15" customWidth="1"/>
    <col min="8965" max="8965" width="14.44140625" style="15" customWidth="1"/>
    <col min="8966" max="8966" width="5.109375" style="15" customWidth="1"/>
    <col min="8967" max="8967" width="16.33203125" style="15" customWidth="1"/>
    <col min="8968" max="8969" width="17.109375" style="15" customWidth="1"/>
    <col min="8970" max="8970" width="5.109375" style="15" customWidth="1"/>
    <col min="8971" max="8971" width="26.5546875" style="15" customWidth="1"/>
    <col min="8972" max="8972" width="26.88671875" style="15" customWidth="1"/>
    <col min="8973" max="8973" width="9.5546875" style="15" bestFit="1" customWidth="1"/>
    <col min="8974" max="8974" width="5.109375" style="15" customWidth="1"/>
    <col min="8975" max="8975" width="12.88671875" style="15" customWidth="1"/>
    <col min="8976" max="8976" width="14.109375" style="15" customWidth="1"/>
    <col min="8977" max="8977" width="18.88671875" style="15" customWidth="1"/>
    <col min="8978" max="8978" width="8.6640625" style="15" customWidth="1"/>
    <col min="8979" max="8980" width="18.88671875" style="15" customWidth="1"/>
    <col min="8981" max="8981" width="5.44140625" style="15" customWidth="1"/>
    <col min="8982" max="8982" width="10.33203125" style="15" customWidth="1"/>
    <col min="8983" max="8985" width="9.5546875" style="15" customWidth="1"/>
    <col min="8986" max="9217" width="9.109375" style="15"/>
    <col min="9218" max="9218" width="21.44140625" style="15" customWidth="1"/>
    <col min="9219" max="9219" width="15.5546875" style="15" customWidth="1"/>
    <col min="9220" max="9220" width="21.5546875" style="15" customWidth="1"/>
    <col min="9221" max="9221" width="14.44140625" style="15" customWidth="1"/>
    <col min="9222" max="9222" width="5.109375" style="15" customWidth="1"/>
    <col min="9223" max="9223" width="16.33203125" style="15" customWidth="1"/>
    <col min="9224" max="9225" width="17.109375" style="15" customWidth="1"/>
    <col min="9226" max="9226" width="5.109375" style="15" customWidth="1"/>
    <col min="9227" max="9227" width="26.5546875" style="15" customWidth="1"/>
    <col min="9228" max="9228" width="26.88671875" style="15" customWidth="1"/>
    <col min="9229" max="9229" width="9.5546875" style="15" bestFit="1" customWidth="1"/>
    <col min="9230" max="9230" width="5.109375" style="15" customWidth="1"/>
    <col min="9231" max="9231" width="12.88671875" style="15" customWidth="1"/>
    <col min="9232" max="9232" width="14.109375" style="15" customWidth="1"/>
    <col min="9233" max="9233" width="18.88671875" style="15" customWidth="1"/>
    <col min="9234" max="9234" width="8.6640625" style="15" customWidth="1"/>
    <col min="9235" max="9236" width="18.88671875" style="15" customWidth="1"/>
    <col min="9237" max="9237" width="5.44140625" style="15" customWidth="1"/>
    <col min="9238" max="9238" width="10.33203125" style="15" customWidth="1"/>
    <col min="9239" max="9241" width="9.5546875" style="15" customWidth="1"/>
    <col min="9242" max="9473" width="9.109375" style="15"/>
    <col min="9474" max="9474" width="21.44140625" style="15" customWidth="1"/>
    <col min="9475" max="9475" width="15.5546875" style="15" customWidth="1"/>
    <col min="9476" max="9476" width="21.5546875" style="15" customWidth="1"/>
    <col min="9477" max="9477" width="14.44140625" style="15" customWidth="1"/>
    <col min="9478" max="9478" width="5.109375" style="15" customWidth="1"/>
    <col min="9479" max="9479" width="16.33203125" style="15" customWidth="1"/>
    <col min="9480" max="9481" width="17.109375" style="15" customWidth="1"/>
    <col min="9482" max="9482" width="5.109375" style="15" customWidth="1"/>
    <col min="9483" max="9483" width="26.5546875" style="15" customWidth="1"/>
    <col min="9484" max="9484" width="26.88671875" style="15" customWidth="1"/>
    <col min="9485" max="9485" width="9.5546875" style="15" bestFit="1" customWidth="1"/>
    <col min="9486" max="9486" width="5.109375" style="15" customWidth="1"/>
    <col min="9487" max="9487" width="12.88671875" style="15" customWidth="1"/>
    <col min="9488" max="9488" width="14.109375" style="15" customWidth="1"/>
    <col min="9489" max="9489" width="18.88671875" style="15" customWidth="1"/>
    <col min="9490" max="9490" width="8.6640625" style="15" customWidth="1"/>
    <col min="9491" max="9492" width="18.88671875" style="15" customWidth="1"/>
    <col min="9493" max="9493" width="5.44140625" style="15" customWidth="1"/>
    <col min="9494" max="9494" width="10.33203125" style="15" customWidth="1"/>
    <col min="9495" max="9497" width="9.5546875" style="15" customWidth="1"/>
    <col min="9498" max="9729" width="9.109375" style="15"/>
    <col min="9730" max="9730" width="21.44140625" style="15" customWidth="1"/>
    <col min="9731" max="9731" width="15.5546875" style="15" customWidth="1"/>
    <col min="9732" max="9732" width="21.5546875" style="15" customWidth="1"/>
    <col min="9733" max="9733" width="14.44140625" style="15" customWidth="1"/>
    <col min="9734" max="9734" width="5.109375" style="15" customWidth="1"/>
    <col min="9735" max="9735" width="16.33203125" style="15" customWidth="1"/>
    <col min="9736" max="9737" width="17.109375" style="15" customWidth="1"/>
    <col min="9738" max="9738" width="5.109375" style="15" customWidth="1"/>
    <col min="9739" max="9739" width="26.5546875" style="15" customWidth="1"/>
    <col min="9740" max="9740" width="26.88671875" style="15" customWidth="1"/>
    <col min="9741" max="9741" width="9.5546875" style="15" bestFit="1" customWidth="1"/>
    <col min="9742" max="9742" width="5.109375" style="15" customWidth="1"/>
    <col min="9743" max="9743" width="12.88671875" style="15" customWidth="1"/>
    <col min="9744" max="9744" width="14.109375" style="15" customWidth="1"/>
    <col min="9745" max="9745" width="18.88671875" style="15" customWidth="1"/>
    <col min="9746" max="9746" width="8.6640625" style="15" customWidth="1"/>
    <col min="9747" max="9748" width="18.88671875" style="15" customWidth="1"/>
    <col min="9749" max="9749" width="5.44140625" style="15" customWidth="1"/>
    <col min="9750" max="9750" width="10.33203125" style="15" customWidth="1"/>
    <col min="9751" max="9753" width="9.5546875" style="15" customWidth="1"/>
    <col min="9754" max="9985" width="9.109375" style="15"/>
    <col min="9986" max="9986" width="21.44140625" style="15" customWidth="1"/>
    <col min="9987" max="9987" width="15.5546875" style="15" customWidth="1"/>
    <col min="9988" max="9988" width="21.5546875" style="15" customWidth="1"/>
    <col min="9989" max="9989" width="14.44140625" style="15" customWidth="1"/>
    <col min="9990" max="9990" width="5.109375" style="15" customWidth="1"/>
    <col min="9991" max="9991" width="16.33203125" style="15" customWidth="1"/>
    <col min="9992" max="9993" width="17.109375" style="15" customWidth="1"/>
    <col min="9994" max="9994" width="5.109375" style="15" customWidth="1"/>
    <col min="9995" max="9995" width="26.5546875" style="15" customWidth="1"/>
    <col min="9996" max="9996" width="26.88671875" style="15" customWidth="1"/>
    <col min="9997" max="9997" width="9.5546875" style="15" bestFit="1" customWidth="1"/>
    <col min="9998" max="9998" width="5.109375" style="15" customWidth="1"/>
    <col min="9999" max="9999" width="12.88671875" style="15" customWidth="1"/>
    <col min="10000" max="10000" width="14.109375" style="15" customWidth="1"/>
    <col min="10001" max="10001" width="18.88671875" style="15" customWidth="1"/>
    <col min="10002" max="10002" width="8.6640625" style="15" customWidth="1"/>
    <col min="10003" max="10004" width="18.88671875" style="15" customWidth="1"/>
    <col min="10005" max="10005" width="5.44140625" style="15" customWidth="1"/>
    <col min="10006" max="10006" width="10.33203125" style="15" customWidth="1"/>
    <col min="10007" max="10009" width="9.5546875" style="15" customWidth="1"/>
    <col min="10010" max="10241" width="9.109375" style="15"/>
    <col min="10242" max="10242" width="21.44140625" style="15" customWidth="1"/>
    <col min="10243" max="10243" width="15.5546875" style="15" customWidth="1"/>
    <col min="10244" max="10244" width="21.5546875" style="15" customWidth="1"/>
    <col min="10245" max="10245" width="14.44140625" style="15" customWidth="1"/>
    <col min="10246" max="10246" width="5.109375" style="15" customWidth="1"/>
    <col min="10247" max="10247" width="16.33203125" style="15" customWidth="1"/>
    <col min="10248" max="10249" width="17.109375" style="15" customWidth="1"/>
    <col min="10250" max="10250" width="5.109375" style="15" customWidth="1"/>
    <col min="10251" max="10251" width="26.5546875" style="15" customWidth="1"/>
    <col min="10252" max="10252" width="26.88671875" style="15" customWidth="1"/>
    <col min="10253" max="10253" width="9.5546875" style="15" bestFit="1" customWidth="1"/>
    <col min="10254" max="10254" width="5.109375" style="15" customWidth="1"/>
    <col min="10255" max="10255" width="12.88671875" style="15" customWidth="1"/>
    <col min="10256" max="10256" width="14.109375" style="15" customWidth="1"/>
    <col min="10257" max="10257" width="18.88671875" style="15" customWidth="1"/>
    <col min="10258" max="10258" width="8.6640625" style="15" customWidth="1"/>
    <col min="10259" max="10260" width="18.88671875" style="15" customWidth="1"/>
    <col min="10261" max="10261" width="5.44140625" style="15" customWidth="1"/>
    <col min="10262" max="10262" width="10.33203125" style="15" customWidth="1"/>
    <col min="10263" max="10265" width="9.5546875" style="15" customWidth="1"/>
    <col min="10266" max="10497" width="9.109375" style="15"/>
    <col min="10498" max="10498" width="21.44140625" style="15" customWidth="1"/>
    <col min="10499" max="10499" width="15.5546875" style="15" customWidth="1"/>
    <col min="10500" max="10500" width="21.5546875" style="15" customWidth="1"/>
    <col min="10501" max="10501" width="14.44140625" style="15" customWidth="1"/>
    <col min="10502" max="10502" width="5.109375" style="15" customWidth="1"/>
    <col min="10503" max="10503" width="16.33203125" style="15" customWidth="1"/>
    <col min="10504" max="10505" width="17.109375" style="15" customWidth="1"/>
    <col min="10506" max="10506" width="5.109375" style="15" customWidth="1"/>
    <col min="10507" max="10507" width="26.5546875" style="15" customWidth="1"/>
    <col min="10508" max="10508" width="26.88671875" style="15" customWidth="1"/>
    <col min="10509" max="10509" width="9.5546875" style="15" bestFit="1" customWidth="1"/>
    <col min="10510" max="10510" width="5.109375" style="15" customWidth="1"/>
    <col min="10511" max="10511" width="12.88671875" style="15" customWidth="1"/>
    <col min="10512" max="10512" width="14.109375" style="15" customWidth="1"/>
    <col min="10513" max="10513" width="18.88671875" style="15" customWidth="1"/>
    <col min="10514" max="10514" width="8.6640625" style="15" customWidth="1"/>
    <col min="10515" max="10516" width="18.88671875" style="15" customWidth="1"/>
    <col min="10517" max="10517" width="5.44140625" style="15" customWidth="1"/>
    <col min="10518" max="10518" width="10.33203125" style="15" customWidth="1"/>
    <col min="10519" max="10521" width="9.5546875" style="15" customWidth="1"/>
    <col min="10522" max="10753" width="9.109375" style="15"/>
    <col min="10754" max="10754" width="21.44140625" style="15" customWidth="1"/>
    <col min="10755" max="10755" width="15.5546875" style="15" customWidth="1"/>
    <col min="10756" max="10756" width="21.5546875" style="15" customWidth="1"/>
    <col min="10757" max="10757" width="14.44140625" style="15" customWidth="1"/>
    <col min="10758" max="10758" width="5.109375" style="15" customWidth="1"/>
    <col min="10759" max="10759" width="16.33203125" style="15" customWidth="1"/>
    <col min="10760" max="10761" width="17.109375" style="15" customWidth="1"/>
    <col min="10762" max="10762" width="5.109375" style="15" customWidth="1"/>
    <col min="10763" max="10763" width="26.5546875" style="15" customWidth="1"/>
    <col min="10764" max="10764" width="26.88671875" style="15" customWidth="1"/>
    <col min="10765" max="10765" width="9.5546875" style="15" bestFit="1" customWidth="1"/>
    <col min="10766" max="10766" width="5.109375" style="15" customWidth="1"/>
    <col min="10767" max="10767" width="12.88671875" style="15" customWidth="1"/>
    <col min="10768" max="10768" width="14.109375" style="15" customWidth="1"/>
    <col min="10769" max="10769" width="18.88671875" style="15" customWidth="1"/>
    <col min="10770" max="10770" width="8.6640625" style="15" customWidth="1"/>
    <col min="10771" max="10772" width="18.88671875" style="15" customWidth="1"/>
    <col min="10773" max="10773" width="5.44140625" style="15" customWidth="1"/>
    <col min="10774" max="10774" width="10.33203125" style="15" customWidth="1"/>
    <col min="10775" max="10777" width="9.5546875" style="15" customWidth="1"/>
    <col min="10778" max="11009" width="9.109375" style="15"/>
    <col min="11010" max="11010" width="21.44140625" style="15" customWidth="1"/>
    <col min="11011" max="11011" width="15.5546875" style="15" customWidth="1"/>
    <col min="11012" max="11012" width="21.5546875" style="15" customWidth="1"/>
    <col min="11013" max="11013" width="14.44140625" style="15" customWidth="1"/>
    <col min="11014" max="11014" width="5.109375" style="15" customWidth="1"/>
    <col min="11015" max="11015" width="16.33203125" style="15" customWidth="1"/>
    <col min="11016" max="11017" width="17.109375" style="15" customWidth="1"/>
    <col min="11018" max="11018" width="5.109375" style="15" customWidth="1"/>
    <col min="11019" max="11019" width="26.5546875" style="15" customWidth="1"/>
    <col min="11020" max="11020" width="26.88671875" style="15" customWidth="1"/>
    <col min="11021" max="11021" width="9.5546875" style="15" bestFit="1" customWidth="1"/>
    <col min="11022" max="11022" width="5.109375" style="15" customWidth="1"/>
    <col min="11023" max="11023" width="12.88671875" style="15" customWidth="1"/>
    <col min="11024" max="11024" width="14.109375" style="15" customWidth="1"/>
    <col min="11025" max="11025" width="18.88671875" style="15" customWidth="1"/>
    <col min="11026" max="11026" width="8.6640625" style="15" customWidth="1"/>
    <col min="11027" max="11028" width="18.88671875" style="15" customWidth="1"/>
    <col min="11029" max="11029" width="5.44140625" style="15" customWidth="1"/>
    <col min="11030" max="11030" width="10.33203125" style="15" customWidth="1"/>
    <col min="11031" max="11033" width="9.5546875" style="15" customWidth="1"/>
    <col min="11034" max="11265" width="9.109375" style="15"/>
    <col min="11266" max="11266" width="21.44140625" style="15" customWidth="1"/>
    <col min="11267" max="11267" width="15.5546875" style="15" customWidth="1"/>
    <col min="11268" max="11268" width="21.5546875" style="15" customWidth="1"/>
    <col min="11269" max="11269" width="14.44140625" style="15" customWidth="1"/>
    <col min="11270" max="11270" width="5.109375" style="15" customWidth="1"/>
    <col min="11271" max="11271" width="16.33203125" style="15" customWidth="1"/>
    <col min="11272" max="11273" width="17.109375" style="15" customWidth="1"/>
    <col min="11274" max="11274" width="5.109375" style="15" customWidth="1"/>
    <col min="11275" max="11275" width="26.5546875" style="15" customWidth="1"/>
    <col min="11276" max="11276" width="26.88671875" style="15" customWidth="1"/>
    <col min="11277" max="11277" width="9.5546875" style="15" bestFit="1" customWidth="1"/>
    <col min="11278" max="11278" width="5.109375" style="15" customWidth="1"/>
    <col min="11279" max="11279" width="12.88671875" style="15" customWidth="1"/>
    <col min="11280" max="11280" width="14.109375" style="15" customWidth="1"/>
    <col min="11281" max="11281" width="18.88671875" style="15" customWidth="1"/>
    <col min="11282" max="11282" width="8.6640625" style="15" customWidth="1"/>
    <col min="11283" max="11284" width="18.88671875" style="15" customWidth="1"/>
    <col min="11285" max="11285" width="5.44140625" style="15" customWidth="1"/>
    <col min="11286" max="11286" width="10.33203125" style="15" customWidth="1"/>
    <col min="11287" max="11289" width="9.5546875" style="15" customWidth="1"/>
    <col min="11290" max="11521" width="9.109375" style="15"/>
    <col min="11522" max="11522" width="21.44140625" style="15" customWidth="1"/>
    <col min="11523" max="11523" width="15.5546875" style="15" customWidth="1"/>
    <col min="11524" max="11524" width="21.5546875" style="15" customWidth="1"/>
    <col min="11525" max="11525" width="14.44140625" style="15" customWidth="1"/>
    <col min="11526" max="11526" width="5.109375" style="15" customWidth="1"/>
    <col min="11527" max="11527" width="16.33203125" style="15" customWidth="1"/>
    <col min="11528" max="11529" width="17.109375" style="15" customWidth="1"/>
    <col min="11530" max="11530" width="5.109375" style="15" customWidth="1"/>
    <col min="11531" max="11531" width="26.5546875" style="15" customWidth="1"/>
    <col min="11532" max="11532" width="26.88671875" style="15" customWidth="1"/>
    <col min="11533" max="11533" width="9.5546875" style="15" bestFit="1" customWidth="1"/>
    <col min="11534" max="11534" width="5.109375" style="15" customWidth="1"/>
    <col min="11535" max="11535" width="12.88671875" style="15" customWidth="1"/>
    <col min="11536" max="11536" width="14.109375" style="15" customWidth="1"/>
    <col min="11537" max="11537" width="18.88671875" style="15" customWidth="1"/>
    <col min="11538" max="11538" width="8.6640625" style="15" customWidth="1"/>
    <col min="11539" max="11540" width="18.88671875" style="15" customWidth="1"/>
    <col min="11541" max="11541" width="5.44140625" style="15" customWidth="1"/>
    <col min="11542" max="11542" width="10.33203125" style="15" customWidth="1"/>
    <col min="11543" max="11545" width="9.5546875" style="15" customWidth="1"/>
    <col min="11546" max="11777" width="9.109375" style="15"/>
    <col min="11778" max="11778" width="21.44140625" style="15" customWidth="1"/>
    <col min="11779" max="11779" width="15.5546875" style="15" customWidth="1"/>
    <col min="11780" max="11780" width="21.5546875" style="15" customWidth="1"/>
    <col min="11781" max="11781" width="14.44140625" style="15" customWidth="1"/>
    <col min="11782" max="11782" width="5.109375" style="15" customWidth="1"/>
    <col min="11783" max="11783" width="16.33203125" style="15" customWidth="1"/>
    <col min="11784" max="11785" width="17.109375" style="15" customWidth="1"/>
    <col min="11786" max="11786" width="5.109375" style="15" customWidth="1"/>
    <col min="11787" max="11787" width="26.5546875" style="15" customWidth="1"/>
    <col min="11788" max="11788" width="26.88671875" style="15" customWidth="1"/>
    <col min="11789" max="11789" width="9.5546875" style="15" bestFit="1" customWidth="1"/>
    <col min="11790" max="11790" width="5.109375" style="15" customWidth="1"/>
    <col min="11791" max="11791" width="12.88671875" style="15" customWidth="1"/>
    <col min="11792" max="11792" width="14.109375" style="15" customWidth="1"/>
    <col min="11793" max="11793" width="18.88671875" style="15" customWidth="1"/>
    <col min="11794" max="11794" width="8.6640625" style="15" customWidth="1"/>
    <col min="11795" max="11796" width="18.88671875" style="15" customWidth="1"/>
    <col min="11797" max="11797" width="5.44140625" style="15" customWidth="1"/>
    <col min="11798" max="11798" width="10.33203125" style="15" customWidth="1"/>
    <col min="11799" max="11801" width="9.5546875" style="15" customWidth="1"/>
    <col min="11802" max="12033" width="9.109375" style="15"/>
    <col min="12034" max="12034" width="21.44140625" style="15" customWidth="1"/>
    <col min="12035" max="12035" width="15.5546875" style="15" customWidth="1"/>
    <col min="12036" max="12036" width="21.5546875" style="15" customWidth="1"/>
    <col min="12037" max="12037" width="14.44140625" style="15" customWidth="1"/>
    <col min="12038" max="12038" width="5.109375" style="15" customWidth="1"/>
    <col min="12039" max="12039" width="16.33203125" style="15" customWidth="1"/>
    <col min="12040" max="12041" width="17.109375" style="15" customWidth="1"/>
    <col min="12042" max="12042" width="5.109375" style="15" customWidth="1"/>
    <col min="12043" max="12043" width="26.5546875" style="15" customWidth="1"/>
    <col min="12044" max="12044" width="26.88671875" style="15" customWidth="1"/>
    <col min="12045" max="12045" width="9.5546875" style="15" bestFit="1" customWidth="1"/>
    <col min="12046" max="12046" width="5.109375" style="15" customWidth="1"/>
    <col min="12047" max="12047" width="12.88671875" style="15" customWidth="1"/>
    <col min="12048" max="12048" width="14.109375" style="15" customWidth="1"/>
    <col min="12049" max="12049" width="18.88671875" style="15" customWidth="1"/>
    <col min="12050" max="12050" width="8.6640625" style="15" customWidth="1"/>
    <col min="12051" max="12052" width="18.88671875" style="15" customWidth="1"/>
    <col min="12053" max="12053" width="5.44140625" style="15" customWidth="1"/>
    <col min="12054" max="12054" width="10.33203125" style="15" customWidth="1"/>
    <col min="12055" max="12057" width="9.5546875" style="15" customWidth="1"/>
    <col min="12058" max="12289" width="9.109375" style="15"/>
    <col min="12290" max="12290" width="21.44140625" style="15" customWidth="1"/>
    <col min="12291" max="12291" width="15.5546875" style="15" customWidth="1"/>
    <col min="12292" max="12292" width="21.5546875" style="15" customWidth="1"/>
    <col min="12293" max="12293" width="14.44140625" style="15" customWidth="1"/>
    <col min="12294" max="12294" width="5.109375" style="15" customWidth="1"/>
    <col min="12295" max="12295" width="16.33203125" style="15" customWidth="1"/>
    <col min="12296" max="12297" width="17.109375" style="15" customWidth="1"/>
    <col min="12298" max="12298" width="5.109375" style="15" customWidth="1"/>
    <col min="12299" max="12299" width="26.5546875" style="15" customWidth="1"/>
    <col min="12300" max="12300" width="26.88671875" style="15" customWidth="1"/>
    <col min="12301" max="12301" width="9.5546875" style="15" bestFit="1" customWidth="1"/>
    <col min="12302" max="12302" width="5.109375" style="15" customWidth="1"/>
    <col min="12303" max="12303" width="12.88671875" style="15" customWidth="1"/>
    <col min="12304" max="12304" width="14.109375" style="15" customWidth="1"/>
    <col min="12305" max="12305" width="18.88671875" style="15" customWidth="1"/>
    <col min="12306" max="12306" width="8.6640625" style="15" customWidth="1"/>
    <col min="12307" max="12308" width="18.88671875" style="15" customWidth="1"/>
    <col min="12309" max="12309" width="5.44140625" style="15" customWidth="1"/>
    <col min="12310" max="12310" width="10.33203125" style="15" customWidth="1"/>
    <col min="12311" max="12313" width="9.5546875" style="15" customWidth="1"/>
    <col min="12314" max="12545" width="9.109375" style="15"/>
    <col min="12546" max="12546" width="21.44140625" style="15" customWidth="1"/>
    <col min="12547" max="12547" width="15.5546875" style="15" customWidth="1"/>
    <col min="12548" max="12548" width="21.5546875" style="15" customWidth="1"/>
    <col min="12549" max="12549" width="14.44140625" style="15" customWidth="1"/>
    <col min="12550" max="12550" width="5.109375" style="15" customWidth="1"/>
    <col min="12551" max="12551" width="16.33203125" style="15" customWidth="1"/>
    <col min="12552" max="12553" width="17.109375" style="15" customWidth="1"/>
    <col min="12554" max="12554" width="5.109375" style="15" customWidth="1"/>
    <col min="12555" max="12555" width="26.5546875" style="15" customWidth="1"/>
    <col min="12556" max="12556" width="26.88671875" style="15" customWidth="1"/>
    <col min="12557" max="12557" width="9.5546875" style="15" bestFit="1" customWidth="1"/>
    <col min="12558" max="12558" width="5.109375" style="15" customWidth="1"/>
    <col min="12559" max="12559" width="12.88671875" style="15" customWidth="1"/>
    <col min="12560" max="12560" width="14.109375" style="15" customWidth="1"/>
    <col min="12561" max="12561" width="18.88671875" style="15" customWidth="1"/>
    <col min="12562" max="12562" width="8.6640625" style="15" customWidth="1"/>
    <col min="12563" max="12564" width="18.88671875" style="15" customWidth="1"/>
    <col min="12565" max="12565" width="5.44140625" style="15" customWidth="1"/>
    <col min="12566" max="12566" width="10.33203125" style="15" customWidth="1"/>
    <col min="12567" max="12569" width="9.5546875" style="15" customWidth="1"/>
    <col min="12570" max="12801" width="9.109375" style="15"/>
    <col min="12802" max="12802" width="21.44140625" style="15" customWidth="1"/>
    <col min="12803" max="12803" width="15.5546875" style="15" customWidth="1"/>
    <col min="12804" max="12804" width="21.5546875" style="15" customWidth="1"/>
    <col min="12805" max="12805" width="14.44140625" style="15" customWidth="1"/>
    <col min="12806" max="12806" width="5.109375" style="15" customWidth="1"/>
    <col min="12807" max="12807" width="16.33203125" style="15" customWidth="1"/>
    <col min="12808" max="12809" width="17.109375" style="15" customWidth="1"/>
    <col min="12810" max="12810" width="5.109375" style="15" customWidth="1"/>
    <col min="12811" max="12811" width="26.5546875" style="15" customWidth="1"/>
    <col min="12812" max="12812" width="26.88671875" style="15" customWidth="1"/>
    <col min="12813" max="12813" width="9.5546875" style="15" bestFit="1" customWidth="1"/>
    <col min="12814" max="12814" width="5.109375" style="15" customWidth="1"/>
    <col min="12815" max="12815" width="12.88671875" style="15" customWidth="1"/>
    <col min="12816" max="12816" width="14.109375" style="15" customWidth="1"/>
    <col min="12817" max="12817" width="18.88671875" style="15" customWidth="1"/>
    <col min="12818" max="12818" width="8.6640625" style="15" customWidth="1"/>
    <col min="12819" max="12820" width="18.88671875" style="15" customWidth="1"/>
    <col min="12821" max="12821" width="5.44140625" style="15" customWidth="1"/>
    <col min="12822" max="12822" width="10.33203125" style="15" customWidth="1"/>
    <col min="12823" max="12825" width="9.5546875" style="15" customWidth="1"/>
    <col min="12826" max="13057" width="9.109375" style="15"/>
    <col min="13058" max="13058" width="21.44140625" style="15" customWidth="1"/>
    <col min="13059" max="13059" width="15.5546875" style="15" customWidth="1"/>
    <col min="13060" max="13060" width="21.5546875" style="15" customWidth="1"/>
    <col min="13061" max="13061" width="14.44140625" style="15" customWidth="1"/>
    <col min="13062" max="13062" width="5.109375" style="15" customWidth="1"/>
    <col min="13063" max="13063" width="16.33203125" style="15" customWidth="1"/>
    <col min="13064" max="13065" width="17.109375" style="15" customWidth="1"/>
    <col min="13066" max="13066" width="5.109375" style="15" customWidth="1"/>
    <col min="13067" max="13067" width="26.5546875" style="15" customWidth="1"/>
    <col min="13068" max="13068" width="26.88671875" style="15" customWidth="1"/>
    <col min="13069" max="13069" width="9.5546875" style="15" bestFit="1" customWidth="1"/>
    <col min="13070" max="13070" width="5.109375" style="15" customWidth="1"/>
    <col min="13071" max="13071" width="12.88671875" style="15" customWidth="1"/>
    <col min="13072" max="13072" width="14.109375" style="15" customWidth="1"/>
    <col min="13073" max="13073" width="18.88671875" style="15" customWidth="1"/>
    <col min="13074" max="13074" width="8.6640625" style="15" customWidth="1"/>
    <col min="13075" max="13076" width="18.88671875" style="15" customWidth="1"/>
    <col min="13077" max="13077" width="5.44140625" style="15" customWidth="1"/>
    <col min="13078" max="13078" width="10.33203125" style="15" customWidth="1"/>
    <col min="13079" max="13081" width="9.5546875" style="15" customWidth="1"/>
    <col min="13082" max="13313" width="9.109375" style="15"/>
    <col min="13314" max="13314" width="21.44140625" style="15" customWidth="1"/>
    <col min="13315" max="13315" width="15.5546875" style="15" customWidth="1"/>
    <col min="13316" max="13316" width="21.5546875" style="15" customWidth="1"/>
    <col min="13317" max="13317" width="14.44140625" style="15" customWidth="1"/>
    <col min="13318" max="13318" width="5.109375" style="15" customWidth="1"/>
    <col min="13319" max="13319" width="16.33203125" style="15" customWidth="1"/>
    <col min="13320" max="13321" width="17.109375" style="15" customWidth="1"/>
    <col min="13322" max="13322" width="5.109375" style="15" customWidth="1"/>
    <col min="13323" max="13323" width="26.5546875" style="15" customWidth="1"/>
    <col min="13324" max="13324" width="26.88671875" style="15" customWidth="1"/>
    <col min="13325" max="13325" width="9.5546875" style="15" bestFit="1" customWidth="1"/>
    <col min="13326" max="13326" width="5.109375" style="15" customWidth="1"/>
    <col min="13327" max="13327" width="12.88671875" style="15" customWidth="1"/>
    <col min="13328" max="13328" width="14.109375" style="15" customWidth="1"/>
    <col min="13329" max="13329" width="18.88671875" style="15" customWidth="1"/>
    <col min="13330" max="13330" width="8.6640625" style="15" customWidth="1"/>
    <col min="13331" max="13332" width="18.88671875" style="15" customWidth="1"/>
    <col min="13333" max="13333" width="5.44140625" style="15" customWidth="1"/>
    <col min="13334" max="13334" width="10.33203125" style="15" customWidth="1"/>
    <col min="13335" max="13337" width="9.5546875" style="15" customWidth="1"/>
    <col min="13338" max="13569" width="9.109375" style="15"/>
    <col min="13570" max="13570" width="21.44140625" style="15" customWidth="1"/>
    <col min="13571" max="13571" width="15.5546875" style="15" customWidth="1"/>
    <col min="13572" max="13572" width="21.5546875" style="15" customWidth="1"/>
    <col min="13573" max="13573" width="14.44140625" style="15" customWidth="1"/>
    <col min="13574" max="13574" width="5.109375" style="15" customWidth="1"/>
    <col min="13575" max="13575" width="16.33203125" style="15" customWidth="1"/>
    <col min="13576" max="13577" width="17.109375" style="15" customWidth="1"/>
    <col min="13578" max="13578" width="5.109375" style="15" customWidth="1"/>
    <col min="13579" max="13579" width="26.5546875" style="15" customWidth="1"/>
    <col min="13580" max="13580" width="26.88671875" style="15" customWidth="1"/>
    <col min="13581" max="13581" width="9.5546875" style="15" bestFit="1" customWidth="1"/>
    <col min="13582" max="13582" width="5.109375" style="15" customWidth="1"/>
    <col min="13583" max="13583" width="12.88671875" style="15" customWidth="1"/>
    <col min="13584" max="13584" width="14.109375" style="15" customWidth="1"/>
    <col min="13585" max="13585" width="18.88671875" style="15" customWidth="1"/>
    <col min="13586" max="13586" width="8.6640625" style="15" customWidth="1"/>
    <col min="13587" max="13588" width="18.88671875" style="15" customWidth="1"/>
    <col min="13589" max="13589" width="5.44140625" style="15" customWidth="1"/>
    <col min="13590" max="13590" width="10.33203125" style="15" customWidth="1"/>
    <col min="13591" max="13593" width="9.5546875" style="15" customWidth="1"/>
    <col min="13594" max="13825" width="9.109375" style="15"/>
    <col min="13826" max="13826" width="21.44140625" style="15" customWidth="1"/>
    <col min="13827" max="13827" width="15.5546875" style="15" customWidth="1"/>
    <col min="13828" max="13828" width="21.5546875" style="15" customWidth="1"/>
    <col min="13829" max="13829" width="14.44140625" style="15" customWidth="1"/>
    <col min="13830" max="13830" width="5.109375" style="15" customWidth="1"/>
    <col min="13831" max="13831" width="16.33203125" style="15" customWidth="1"/>
    <col min="13832" max="13833" width="17.109375" style="15" customWidth="1"/>
    <col min="13834" max="13834" width="5.109375" style="15" customWidth="1"/>
    <col min="13835" max="13835" width="26.5546875" style="15" customWidth="1"/>
    <col min="13836" max="13836" width="26.88671875" style="15" customWidth="1"/>
    <col min="13837" max="13837" width="9.5546875" style="15" bestFit="1" customWidth="1"/>
    <col min="13838" max="13838" width="5.109375" style="15" customWidth="1"/>
    <col min="13839" max="13839" width="12.88671875" style="15" customWidth="1"/>
    <col min="13840" max="13840" width="14.109375" style="15" customWidth="1"/>
    <col min="13841" max="13841" width="18.88671875" style="15" customWidth="1"/>
    <col min="13842" max="13842" width="8.6640625" style="15" customWidth="1"/>
    <col min="13843" max="13844" width="18.88671875" style="15" customWidth="1"/>
    <col min="13845" max="13845" width="5.44140625" style="15" customWidth="1"/>
    <col min="13846" max="13846" width="10.33203125" style="15" customWidth="1"/>
    <col min="13847" max="13849" width="9.5546875" style="15" customWidth="1"/>
    <col min="13850" max="14081" width="9.109375" style="15"/>
    <col min="14082" max="14082" width="21.44140625" style="15" customWidth="1"/>
    <col min="14083" max="14083" width="15.5546875" style="15" customWidth="1"/>
    <col min="14084" max="14084" width="21.5546875" style="15" customWidth="1"/>
    <col min="14085" max="14085" width="14.44140625" style="15" customWidth="1"/>
    <col min="14086" max="14086" width="5.109375" style="15" customWidth="1"/>
    <col min="14087" max="14087" width="16.33203125" style="15" customWidth="1"/>
    <col min="14088" max="14089" width="17.109375" style="15" customWidth="1"/>
    <col min="14090" max="14090" width="5.109375" style="15" customWidth="1"/>
    <col min="14091" max="14091" width="26.5546875" style="15" customWidth="1"/>
    <col min="14092" max="14092" width="26.88671875" style="15" customWidth="1"/>
    <col min="14093" max="14093" width="9.5546875" style="15" bestFit="1" customWidth="1"/>
    <col min="14094" max="14094" width="5.109375" style="15" customWidth="1"/>
    <col min="14095" max="14095" width="12.88671875" style="15" customWidth="1"/>
    <col min="14096" max="14096" width="14.109375" style="15" customWidth="1"/>
    <col min="14097" max="14097" width="18.88671875" style="15" customWidth="1"/>
    <col min="14098" max="14098" width="8.6640625" style="15" customWidth="1"/>
    <col min="14099" max="14100" width="18.88671875" style="15" customWidth="1"/>
    <col min="14101" max="14101" width="5.44140625" style="15" customWidth="1"/>
    <col min="14102" max="14102" width="10.33203125" style="15" customWidth="1"/>
    <col min="14103" max="14105" width="9.5546875" style="15" customWidth="1"/>
    <col min="14106" max="14337" width="9.109375" style="15"/>
    <col min="14338" max="14338" width="21.44140625" style="15" customWidth="1"/>
    <col min="14339" max="14339" width="15.5546875" style="15" customWidth="1"/>
    <col min="14340" max="14340" width="21.5546875" style="15" customWidth="1"/>
    <col min="14341" max="14341" width="14.44140625" style="15" customWidth="1"/>
    <col min="14342" max="14342" width="5.109375" style="15" customWidth="1"/>
    <col min="14343" max="14343" width="16.33203125" style="15" customWidth="1"/>
    <col min="14344" max="14345" width="17.109375" style="15" customWidth="1"/>
    <col min="14346" max="14346" width="5.109375" style="15" customWidth="1"/>
    <col min="14347" max="14347" width="26.5546875" style="15" customWidth="1"/>
    <col min="14348" max="14348" width="26.88671875" style="15" customWidth="1"/>
    <col min="14349" max="14349" width="9.5546875" style="15" bestFit="1" customWidth="1"/>
    <col min="14350" max="14350" width="5.109375" style="15" customWidth="1"/>
    <col min="14351" max="14351" width="12.88671875" style="15" customWidth="1"/>
    <col min="14352" max="14352" width="14.109375" style="15" customWidth="1"/>
    <col min="14353" max="14353" width="18.88671875" style="15" customWidth="1"/>
    <col min="14354" max="14354" width="8.6640625" style="15" customWidth="1"/>
    <col min="14355" max="14356" width="18.88671875" style="15" customWidth="1"/>
    <col min="14357" max="14357" width="5.44140625" style="15" customWidth="1"/>
    <col min="14358" max="14358" width="10.33203125" style="15" customWidth="1"/>
    <col min="14359" max="14361" width="9.5546875" style="15" customWidth="1"/>
    <col min="14362" max="14593" width="9.109375" style="15"/>
    <col min="14594" max="14594" width="21.44140625" style="15" customWidth="1"/>
    <col min="14595" max="14595" width="15.5546875" style="15" customWidth="1"/>
    <col min="14596" max="14596" width="21.5546875" style="15" customWidth="1"/>
    <col min="14597" max="14597" width="14.44140625" style="15" customWidth="1"/>
    <col min="14598" max="14598" width="5.109375" style="15" customWidth="1"/>
    <col min="14599" max="14599" width="16.33203125" style="15" customWidth="1"/>
    <col min="14600" max="14601" width="17.109375" style="15" customWidth="1"/>
    <col min="14602" max="14602" width="5.109375" style="15" customWidth="1"/>
    <col min="14603" max="14603" width="26.5546875" style="15" customWidth="1"/>
    <col min="14604" max="14604" width="26.88671875" style="15" customWidth="1"/>
    <col min="14605" max="14605" width="9.5546875" style="15" bestFit="1" customWidth="1"/>
    <col min="14606" max="14606" width="5.109375" style="15" customWidth="1"/>
    <col min="14607" max="14607" width="12.88671875" style="15" customWidth="1"/>
    <col min="14608" max="14608" width="14.109375" style="15" customWidth="1"/>
    <col min="14609" max="14609" width="18.88671875" style="15" customWidth="1"/>
    <col min="14610" max="14610" width="8.6640625" style="15" customWidth="1"/>
    <col min="14611" max="14612" width="18.88671875" style="15" customWidth="1"/>
    <col min="14613" max="14613" width="5.44140625" style="15" customWidth="1"/>
    <col min="14614" max="14614" width="10.33203125" style="15" customWidth="1"/>
    <col min="14615" max="14617" width="9.5546875" style="15" customWidth="1"/>
    <col min="14618" max="14849" width="9.109375" style="15"/>
    <col min="14850" max="14850" width="21.44140625" style="15" customWidth="1"/>
    <col min="14851" max="14851" width="15.5546875" style="15" customWidth="1"/>
    <col min="14852" max="14852" width="21.5546875" style="15" customWidth="1"/>
    <col min="14853" max="14853" width="14.44140625" style="15" customWidth="1"/>
    <col min="14854" max="14854" width="5.109375" style="15" customWidth="1"/>
    <col min="14855" max="14855" width="16.33203125" style="15" customWidth="1"/>
    <col min="14856" max="14857" width="17.109375" style="15" customWidth="1"/>
    <col min="14858" max="14858" width="5.109375" style="15" customWidth="1"/>
    <col min="14859" max="14859" width="26.5546875" style="15" customWidth="1"/>
    <col min="14860" max="14860" width="26.88671875" style="15" customWidth="1"/>
    <col min="14861" max="14861" width="9.5546875" style="15" bestFit="1" customWidth="1"/>
    <col min="14862" max="14862" width="5.109375" style="15" customWidth="1"/>
    <col min="14863" max="14863" width="12.88671875" style="15" customWidth="1"/>
    <col min="14864" max="14864" width="14.109375" style="15" customWidth="1"/>
    <col min="14865" max="14865" width="18.88671875" style="15" customWidth="1"/>
    <col min="14866" max="14866" width="8.6640625" style="15" customWidth="1"/>
    <col min="14867" max="14868" width="18.88671875" style="15" customWidth="1"/>
    <col min="14869" max="14869" width="5.44140625" style="15" customWidth="1"/>
    <col min="14870" max="14870" width="10.33203125" style="15" customWidth="1"/>
    <col min="14871" max="14873" width="9.5546875" style="15" customWidth="1"/>
    <col min="14874" max="15105" width="9.109375" style="15"/>
    <col min="15106" max="15106" width="21.44140625" style="15" customWidth="1"/>
    <col min="15107" max="15107" width="15.5546875" style="15" customWidth="1"/>
    <col min="15108" max="15108" width="21.5546875" style="15" customWidth="1"/>
    <col min="15109" max="15109" width="14.44140625" style="15" customWidth="1"/>
    <col min="15110" max="15110" width="5.109375" style="15" customWidth="1"/>
    <col min="15111" max="15111" width="16.33203125" style="15" customWidth="1"/>
    <col min="15112" max="15113" width="17.109375" style="15" customWidth="1"/>
    <col min="15114" max="15114" width="5.109375" style="15" customWidth="1"/>
    <col min="15115" max="15115" width="26.5546875" style="15" customWidth="1"/>
    <col min="15116" max="15116" width="26.88671875" style="15" customWidth="1"/>
    <col min="15117" max="15117" width="9.5546875" style="15" bestFit="1" customWidth="1"/>
    <col min="15118" max="15118" width="5.109375" style="15" customWidth="1"/>
    <col min="15119" max="15119" width="12.88671875" style="15" customWidth="1"/>
    <col min="15120" max="15120" width="14.109375" style="15" customWidth="1"/>
    <col min="15121" max="15121" width="18.88671875" style="15" customWidth="1"/>
    <col min="15122" max="15122" width="8.6640625" style="15" customWidth="1"/>
    <col min="15123" max="15124" width="18.88671875" style="15" customWidth="1"/>
    <col min="15125" max="15125" width="5.44140625" style="15" customWidth="1"/>
    <col min="15126" max="15126" width="10.33203125" style="15" customWidth="1"/>
    <col min="15127" max="15129" width="9.5546875" style="15" customWidth="1"/>
    <col min="15130" max="15361" width="9.109375" style="15"/>
    <col min="15362" max="15362" width="21.44140625" style="15" customWidth="1"/>
    <col min="15363" max="15363" width="15.5546875" style="15" customWidth="1"/>
    <col min="15364" max="15364" width="21.5546875" style="15" customWidth="1"/>
    <col min="15365" max="15365" width="14.44140625" style="15" customWidth="1"/>
    <col min="15366" max="15366" width="5.109375" style="15" customWidth="1"/>
    <col min="15367" max="15367" width="16.33203125" style="15" customWidth="1"/>
    <col min="15368" max="15369" width="17.109375" style="15" customWidth="1"/>
    <col min="15370" max="15370" width="5.109375" style="15" customWidth="1"/>
    <col min="15371" max="15371" width="26.5546875" style="15" customWidth="1"/>
    <col min="15372" max="15372" width="26.88671875" style="15" customWidth="1"/>
    <col min="15373" max="15373" width="9.5546875" style="15" bestFit="1" customWidth="1"/>
    <col min="15374" max="15374" width="5.109375" style="15" customWidth="1"/>
    <col min="15375" max="15375" width="12.88671875" style="15" customWidth="1"/>
    <col min="15376" max="15376" width="14.109375" style="15" customWidth="1"/>
    <col min="15377" max="15377" width="18.88671875" style="15" customWidth="1"/>
    <col min="15378" max="15378" width="8.6640625" style="15" customWidth="1"/>
    <col min="15379" max="15380" width="18.88671875" style="15" customWidth="1"/>
    <col min="15381" max="15381" width="5.44140625" style="15" customWidth="1"/>
    <col min="15382" max="15382" width="10.33203125" style="15" customWidth="1"/>
    <col min="15383" max="15385" width="9.5546875" style="15" customWidth="1"/>
    <col min="15386" max="15617" width="9.109375" style="15"/>
    <col min="15618" max="15618" width="21.44140625" style="15" customWidth="1"/>
    <col min="15619" max="15619" width="15.5546875" style="15" customWidth="1"/>
    <col min="15620" max="15620" width="21.5546875" style="15" customWidth="1"/>
    <col min="15621" max="15621" width="14.44140625" style="15" customWidth="1"/>
    <col min="15622" max="15622" width="5.109375" style="15" customWidth="1"/>
    <col min="15623" max="15623" width="16.33203125" style="15" customWidth="1"/>
    <col min="15624" max="15625" width="17.109375" style="15" customWidth="1"/>
    <col min="15626" max="15626" width="5.109375" style="15" customWidth="1"/>
    <col min="15627" max="15627" width="26.5546875" style="15" customWidth="1"/>
    <col min="15628" max="15628" width="26.88671875" style="15" customWidth="1"/>
    <col min="15629" max="15629" width="9.5546875" style="15" bestFit="1" customWidth="1"/>
    <col min="15630" max="15630" width="5.109375" style="15" customWidth="1"/>
    <col min="15631" max="15631" width="12.88671875" style="15" customWidth="1"/>
    <col min="15632" max="15632" width="14.109375" style="15" customWidth="1"/>
    <col min="15633" max="15633" width="18.88671875" style="15" customWidth="1"/>
    <col min="15634" max="15634" width="8.6640625" style="15" customWidth="1"/>
    <col min="15635" max="15636" width="18.88671875" style="15" customWidth="1"/>
    <col min="15637" max="15637" width="5.44140625" style="15" customWidth="1"/>
    <col min="15638" max="15638" width="10.33203125" style="15" customWidth="1"/>
    <col min="15639" max="15641" width="9.5546875" style="15" customWidth="1"/>
    <col min="15642" max="15873" width="9.109375" style="15"/>
    <col min="15874" max="15874" width="21.44140625" style="15" customWidth="1"/>
    <col min="15875" max="15875" width="15.5546875" style="15" customWidth="1"/>
    <col min="15876" max="15876" width="21.5546875" style="15" customWidth="1"/>
    <col min="15877" max="15877" width="14.44140625" style="15" customWidth="1"/>
    <col min="15878" max="15878" width="5.109375" style="15" customWidth="1"/>
    <col min="15879" max="15879" width="16.33203125" style="15" customWidth="1"/>
    <col min="15880" max="15881" width="17.109375" style="15" customWidth="1"/>
    <col min="15882" max="15882" width="5.109375" style="15" customWidth="1"/>
    <col min="15883" max="15883" width="26.5546875" style="15" customWidth="1"/>
    <col min="15884" max="15884" width="26.88671875" style="15" customWidth="1"/>
    <col min="15885" max="15885" width="9.5546875" style="15" bestFit="1" customWidth="1"/>
    <col min="15886" max="15886" width="5.109375" style="15" customWidth="1"/>
    <col min="15887" max="15887" width="12.88671875" style="15" customWidth="1"/>
    <col min="15888" max="15888" width="14.109375" style="15" customWidth="1"/>
    <col min="15889" max="15889" width="18.88671875" style="15" customWidth="1"/>
    <col min="15890" max="15890" width="8.6640625" style="15" customWidth="1"/>
    <col min="15891" max="15892" width="18.88671875" style="15" customWidth="1"/>
    <col min="15893" max="15893" width="5.44140625" style="15" customWidth="1"/>
    <col min="15894" max="15894" width="10.33203125" style="15" customWidth="1"/>
    <col min="15895" max="15897" width="9.5546875" style="15" customWidth="1"/>
    <col min="15898" max="16129" width="9.109375" style="15"/>
    <col min="16130" max="16130" width="21.44140625" style="15" customWidth="1"/>
    <col min="16131" max="16131" width="15.5546875" style="15" customWidth="1"/>
    <col min="16132" max="16132" width="21.5546875" style="15" customWidth="1"/>
    <col min="16133" max="16133" width="14.44140625" style="15" customWidth="1"/>
    <col min="16134" max="16134" width="5.109375" style="15" customWidth="1"/>
    <col min="16135" max="16135" width="16.33203125" style="15" customWidth="1"/>
    <col min="16136" max="16137" width="17.109375" style="15" customWidth="1"/>
    <col min="16138" max="16138" width="5.109375" style="15" customWidth="1"/>
    <col min="16139" max="16139" width="26.5546875" style="15" customWidth="1"/>
    <col min="16140" max="16140" width="26.88671875" style="15" customWidth="1"/>
    <col min="16141" max="16141" width="9.5546875" style="15" bestFit="1" customWidth="1"/>
    <col min="16142" max="16142" width="5.109375" style="15" customWidth="1"/>
    <col min="16143" max="16143" width="12.88671875" style="15" customWidth="1"/>
    <col min="16144" max="16144" width="14.109375" style="15" customWidth="1"/>
    <col min="16145" max="16145" width="18.88671875" style="15" customWidth="1"/>
    <col min="16146" max="16146" width="8.6640625" style="15" customWidth="1"/>
    <col min="16147" max="16148" width="18.88671875" style="15" customWidth="1"/>
    <col min="16149" max="16149" width="5.44140625" style="15" customWidth="1"/>
    <col min="16150" max="16150" width="10.33203125" style="15" customWidth="1"/>
    <col min="16151" max="16153" width="9.5546875" style="15" customWidth="1"/>
    <col min="16154" max="16384" width="9.109375" style="15"/>
  </cols>
  <sheetData>
    <row r="2" spans="2:25" ht="12.75" x14ac:dyDescent="0.2">
      <c r="V2" s="180"/>
      <c r="W2" s="180"/>
      <c r="X2" s="180"/>
      <c r="Y2" s="180"/>
    </row>
    <row r="3" spans="2:25" ht="61.5" customHeight="1" x14ac:dyDescent="0.25">
      <c r="B3" s="16" t="s">
        <v>16</v>
      </c>
      <c r="C3" s="17" t="s">
        <v>51</v>
      </c>
      <c r="D3" s="17" t="s">
        <v>52</v>
      </c>
      <c r="E3" s="17" t="s">
        <v>53</v>
      </c>
      <c r="G3" s="18" t="s">
        <v>54</v>
      </c>
      <c r="H3" s="18" t="s">
        <v>55</v>
      </c>
      <c r="I3" s="17" t="s">
        <v>56</v>
      </c>
      <c r="K3" s="17" t="s">
        <v>57</v>
      </c>
      <c r="L3" s="17" t="s">
        <v>58</v>
      </c>
      <c r="M3" s="17" t="s">
        <v>59</v>
      </c>
      <c r="O3" s="17" t="s">
        <v>60</v>
      </c>
      <c r="P3" s="17" t="s">
        <v>61</v>
      </c>
      <c r="Q3" s="17" t="s">
        <v>62</v>
      </c>
      <c r="S3" s="17" t="s">
        <v>63</v>
      </c>
      <c r="T3" s="17" t="s">
        <v>64</v>
      </c>
      <c r="V3" s="17">
        <v>717007</v>
      </c>
      <c r="W3" s="17">
        <v>717008</v>
      </c>
      <c r="X3" s="17">
        <v>717003</v>
      </c>
      <c r="Y3" s="17">
        <v>717004</v>
      </c>
    </row>
    <row r="4" spans="2:25" ht="15" x14ac:dyDescent="0.25">
      <c r="B4" s="19">
        <v>43466</v>
      </c>
      <c r="C4" s="20">
        <f>'[1]Consumo Diário'!$C$42</f>
        <v>128045.29799999998</v>
      </c>
      <c r="D4" s="20">
        <f>'[1]Consumo Diário'!$D$42</f>
        <v>1038.452</v>
      </c>
      <c r="E4" s="20">
        <f>C4+D4</f>
        <v>129083.74999999999</v>
      </c>
      <c r="F4" s="21"/>
      <c r="G4" s="20">
        <f t="shared" ref="G4:H23" si="0">O4-C4-K4</f>
        <v>4251.2205633361191</v>
      </c>
      <c r="H4" s="20">
        <f t="shared" si="0"/>
        <v>338.97115333333323</v>
      </c>
      <c r="I4" s="20">
        <f>G4+H4</f>
        <v>4590.191716669452</v>
      </c>
      <c r="J4" s="21"/>
      <c r="K4" s="22">
        <f>'[1]Consumo Diário'!$DX$42</f>
        <v>6649.0374366639408</v>
      </c>
      <c r="L4" s="22">
        <f>'[1]Consumo Diário'!$DY$42</f>
        <v>163.88884666666667</v>
      </c>
      <c r="M4" s="22">
        <f>K4+L4</f>
        <v>6812.9262833306075</v>
      </c>
      <c r="N4" s="21"/>
      <c r="O4" s="23">
        <f>'[1]Consumo Diário'!$DS$42</f>
        <v>138945.55600000004</v>
      </c>
      <c r="P4" s="23">
        <f>'[1]Consumo Diário'!$DT$42</f>
        <v>1541.3119999999999</v>
      </c>
      <c r="Q4" s="23">
        <f>O4+P4</f>
        <v>140486.86800000005</v>
      </c>
      <c r="S4" s="24">
        <f>(E4+I4)/Q4</f>
        <v>0.95150488881757544</v>
      </c>
      <c r="T4" s="24">
        <f>M4/Q4</f>
        <v>4.8495111182424576E-2</v>
      </c>
      <c r="V4" s="24">
        <f>(C4+G4)/Q4</f>
        <v>0.94170024890394788</v>
      </c>
      <c r="W4" s="24">
        <f>(D4+H4)/Q4</f>
        <v>9.8046399136276045E-3</v>
      </c>
      <c r="X4" s="24">
        <f>K4/Q4</f>
        <v>4.732853348730031E-2</v>
      </c>
      <c r="Y4" s="24">
        <f>L4/Q4</f>
        <v>1.1665776951242633E-3</v>
      </c>
    </row>
    <row r="5" spans="2:25" ht="15" x14ac:dyDescent="0.25">
      <c r="B5" s="19">
        <v>43497</v>
      </c>
      <c r="C5" s="20">
        <f>'[2]Consumo Diário'!$C$42</f>
        <v>117316.54099999998</v>
      </c>
      <c r="D5" s="20">
        <f>'[2]Consumo Diário'!$D$42</f>
        <v>1002.2690000000001</v>
      </c>
      <c r="E5" s="20">
        <f t="shared" ref="E5:E56" si="1">C5+D5</f>
        <v>118318.80999999998</v>
      </c>
      <c r="F5" s="21"/>
      <c r="G5" s="20">
        <f t="shared" si="0"/>
        <v>4164.4959366666817</v>
      </c>
      <c r="H5" s="20">
        <f t="shared" si="0"/>
        <v>240.19136666666643</v>
      </c>
      <c r="I5" s="20">
        <f t="shared" ref="I5:I56" si="2">G5+H5</f>
        <v>4404.6873033333477</v>
      </c>
      <c r="J5" s="21"/>
      <c r="K5" s="22">
        <f>'[2]Consumo Diário'!$DX$42</f>
        <v>5975.6210633333312</v>
      </c>
      <c r="L5" s="22">
        <f>'[2]Consumo Diário'!$DY$42</f>
        <v>211.75563333333335</v>
      </c>
      <c r="M5" s="22">
        <f t="shared" ref="M5:M56" si="3">K5+L5</f>
        <v>6187.3766966666644</v>
      </c>
      <c r="N5" s="21"/>
      <c r="O5" s="23">
        <f>'[2]Consumo Diário'!$DS$42</f>
        <v>127456.658</v>
      </c>
      <c r="P5" s="23">
        <f>'[2]Consumo Diário'!$DT$42</f>
        <v>1454.2159999999999</v>
      </c>
      <c r="Q5" s="23">
        <f t="shared" ref="Q5:Q56" si="4">O5+P5</f>
        <v>128910.874</v>
      </c>
      <c r="R5" s="25"/>
      <c r="S5" s="24">
        <f t="shared" ref="S5:S56" si="5">(E5+I5)/Q5</f>
        <v>0.95200267824833262</v>
      </c>
      <c r="T5" s="24">
        <f t="shared" ref="T5:T56" si="6">M5/Q5</f>
        <v>4.7997321751667474E-2</v>
      </c>
      <c r="V5" s="24">
        <f t="shared" ref="V5:V56" si="7">(C5+G5)/Q5</f>
        <v>0.94236454355795207</v>
      </c>
      <c r="W5" s="24">
        <f t="shared" ref="W5:W56" si="8">(D5+H5)/Q5</f>
        <v>9.6381346903804763E-3</v>
      </c>
      <c r="X5" s="24">
        <f t="shared" ref="X5:X56" si="9">K5/Q5</f>
        <v>4.6354670307590433E-2</v>
      </c>
      <c r="Y5" s="24">
        <f t="shared" ref="Y5:Y56" si="10">L5/Q5</f>
        <v>1.6426514440770401E-3</v>
      </c>
    </row>
    <row r="6" spans="2:25" ht="15" x14ac:dyDescent="0.25">
      <c r="B6" s="19">
        <v>43525</v>
      </c>
      <c r="C6" s="20">
        <f>'[3]Consumo Diário'!$C$42</f>
        <v>130503.71</v>
      </c>
      <c r="D6" s="20">
        <f>'[3]Consumo Diário'!$D$42</f>
        <v>955.99000000000012</v>
      </c>
      <c r="E6" s="20">
        <f t="shared" si="1"/>
        <v>131459.70000000001</v>
      </c>
      <c r="F6" s="21"/>
      <c r="G6" s="20">
        <f t="shared" si="0"/>
        <v>4776.9969485714537</v>
      </c>
      <c r="H6" s="20">
        <f t="shared" si="0"/>
        <v>204.14739999999989</v>
      </c>
      <c r="I6" s="20">
        <f t="shared" si="2"/>
        <v>4981.1443485714535</v>
      </c>
      <c r="J6" s="21"/>
      <c r="K6" s="22">
        <f>'[3]Consumo Diário'!$DX$42</f>
        <v>6735.3500514285697</v>
      </c>
      <c r="L6" s="22">
        <f>'[3]Consumo Diário'!$DY$42</f>
        <v>269.45560000000006</v>
      </c>
      <c r="M6" s="22">
        <f t="shared" si="3"/>
        <v>7004.8056514285699</v>
      </c>
      <c r="N6" s="21"/>
      <c r="O6" s="23">
        <f>'[3]Consumo Diário'!$DS$42</f>
        <v>142016.05700000003</v>
      </c>
      <c r="P6" s="23">
        <f>'[3]Consumo Diário'!$DT$42</f>
        <v>1429.5930000000001</v>
      </c>
      <c r="Q6" s="23">
        <f t="shared" si="4"/>
        <v>143445.65000000002</v>
      </c>
      <c r="R6" s="25"/>
      <c r="S6" s="24">
        <f t="shared" si="5"/>
        <v>0.95116752824900197</v>
      </c>
      <c r="T6" s="24">
        <f t="shared" si="6"/>
        <v>4.8832471750998155E-2</v>
      </c>
      <c r="V6" s="24">
        <f t="shared" si="7"/>
        <v>0.94307988390426223</v>
      </c>
      <c r="W6" s="24">
        <f t="shared" si="8"/>
        <v>8.0876443447396272E-3</v>
      </c>
      <c r="X6" s="24">
        <f t="shared" si="9"/>
        <v>4.6954020923106195E-2</v>
      </c>
      <c r="Y6" s="24">
        <f t="shared" si="10"/>
        <v>1.8784508278919577E-3</v>
      </c>
    </row>
    <row r="7" spans="2:25" ht="15" x14ac:dyDescent="0.25">
      <c r="B7" s="19">
        <v>43556</v>
      </c>
      <c r="C7" s="20">
        <f>'[4]Consumo Diário'!$C$42</f>
        <v>126449.82799999999</v>
      </c>
      <c r="D7" s="20">
        <f>'[4]Consumo Diário'!$D$42</f>
        <v>1016.962</v>
      </c>
      <c r="E7" s="20">
        <f t="shared" si="1"/>
        <v>127466.79</v>
      </c>
      <c r="F7" s="21"/>
      <c r="G7" s="20">
        <f t="shared" si="0"/>
        <v>5057.7774050646585</v>
      </c>
      <c r="H7" s="20">
        <f t="shared" si="0"/>
        <v>254.58674999999977</v>
      </c>
      <c r="I7" s="20">
        <f t="shared" si="2"/>
        <v>5312.364155064658</v>
      </c>
      <c r="J7" s="21"/>
      <c r="K7" s="22">
        <f>'[4]Consumo Diário'!$DX$42</f>
        <v>6441.9155949353844</v>
      </c>
      <c r="L7" s="22">
        <f>'[4]Consumo Diário'!$DY$42</f>
        <v>265.04825</v>
      </c>
      <c r="M7" s="22">
        <f t="shared" si="3"/>
        <v>6706.9638449353843</v>
      </c>
      <c r="N7" s="21"/>
      <c r="O7" s="23">
        <f>'[4]Consumo Diário'!$DS$42</f>
        <v>137949.52100000004</v>
      </c>
      <c r="P7" s="23">
        <f>'[4]Consumo Diário'!$DT$42</f>
        <v>1536.5969999999998</v>
      </c>
      <c r="Q7" s="23">
        <f t="shared" si="4"/>
        <v>139486.11800000005</v>
      </c>
      <c r="R7" s="25"/>
      <c r="S7" s="24">
        <f t="shared" si="5"/>
        <v>0.95191662123011134</v>
      </c>
      <c r="T7" s="24">
        <f t="shared" si="6"/>
        <v>4.8083378769888642E-2</v>
      </c>
      <c r="V7" s="24">
        <f t="shared" si="7"/>
        <v>0.94280066927566664</v>
      </c>
      <c r="W7" s="24">
        <f t="shared" si="8"/>
        <v>9.1159519544446663E-3</v>
      </c>
      <c r="X7" s="24">
        <f t="shared" si="9"/>
        <v>4.6183202223287784E-2</v>
      </c>
      <c r="Y7" s="24">
        <f t="shared" si="10"/>
        <v>1.9001765466008589E-3</v>
      </c>
    </row>
    <row r="8" spans="2:25" ht="15" x14ac:dyDescent="0.25">
      <c r="B8" s="19">
        <v>43586</v>
      </c>
      <c r="C8" s="20">
        <f>'[5]Consumo Diário'!$C$42</f>
        <v>128349.50500000002</v>
      </c>
      <c r="D8" s="20">
        <f>'[5]Consumo Diário'!$D$42</f>
        <v>1006.995</v>
      </c>
      <c r="E8" s="20">
        <f t="shared" si="1"/>
        <v>129356.50000000001</v>
      </c>
      <c r="F8" s="21"/>
      <c r="G8" s="20">
        <f t="shared" si="0"/>
        <v>5059.0495327272811</v>
      </c>
      <c r="H8" s="20">
        <f t="shared" si="0"/>
        <v>241.33126363636367</v>
      </c>
      <c r="I8" s="20">
        <f t="shared" si="2"/>
        <v>5300.3807963636445</v>
      </c>
      <c r="J8" s="21"/>
      <c r="K8" s="22">
        <f>'[5]Consumo Diário'!$DX$42</f>
        <v>5845.8614672727263</v>
      </c>
      <c r="L8" s="22">
        <f>'[5]Consumo Diário'!$DY$42</f>
        <v>249.47073636363635</v>
      </c>
      <c r="M8" s="22">
        <f t="shared" si="3"/>
        <v>6095.3322036363625</v>
      </c>
      <c r="N8" s="21"/>
      <c r="O8" s="23">
        <f>'[5]Consumo Diário'!$DS$42</f>
        <v>139254.41600000003</v>
      </c>
      <c r="P8" s="23">
        <f>'[5]Consumo Diário'!$DT$42</f>
        <v>1497.797</v>
      </c>
      <c r="Q8" s="23">
        <f t="shared" si="4"/>
        <v>140752.21300000002</v>
      </c>
      <c r="R8" s="25"/>
      <c r="S8" s="24">
        <f t="shared" si="5"/>
        <v>0.95669459063044104</v>
      </c>
      <c r="T8" s="24">
        <f t="shared" si="6"/>
        <v>4.3305409369558984E-2</v>
      </c>
      <c r="V8" s="24">
        <f t="shared" si="7"/>
        <v>0.94782562695996331</v>
      </c>
      <c r="W8" s="24">
        <f t="shared" si="8"/>
        <v>8.8689636704778734E-3</v>
      </c>
      <c r="X8" s="24">
        <f t="shared" si="9"/>
        <v>4.1532998612765867E-2</v>
      </c>
      <c r="Y8" s="24">
        <f t="shared" si="10"/>
        <v>1.7724107567931191E-3</v>
      </c>
    </row>
    <row r="9" spans="2:25" ht="15" x14ac:dyDescent="0.25">
      <c r="B9" s="19">
        <v>43617</v>
      </c>
      <c r="C9" s="20">
        <f>'[6]Consumo Diário'!$C$42</f>
        <v>102197.69099999998</v>
      </c>
      <c r="D9" s="20">
        <f>'[6]Consumo Diário'!$D$42</f>
        <v>902.18899999999996</v>
      </c>
      <c r="E9" s="20">
        <f t="shared" si="1"/>
        <v>103099.87999999998</v>
      </c>
      <c r="F9" s="21"/>
      <c r="G9" s="20">
        <f t="shared" si="0"/>
        <v>4162.7026636363753</v>
      </c>
      <c r="H9" s="20">
        <f t="shared" si="0"/>
        <v>238.2177090909089</v>
      </c>
      <c r="I9" s="20">
        <f t="shared" si="2"/>
        <v>4400.9203727272843</v>
      </c>
      <c r="J9" s="21"/>
      <c r="K9" s="22">
        <f>'[6]Consumo Diário'!$DX$42</f>
        <v>6155.3413363636337</v>
      </c>
      <c r="L9" s="22">
        <f>'[6]Consumo Diário'!$DY$42</f>
        <v>241.31429090909091</v>
      </c>
      <c r="M9" s="22">
        <f t="shared" si="3"/>
        <v>6396.6556272727248</v>
      </c>
      <c r="N9" s="21"/>
      <c r="O9" s="23">
        <f>'[6]Consumo Diário'!$DS$42</f>
        <v>112515.73499999999</v>
      </c>
      <c r="P9" s="23">
        <f>'[6]Consumo Diário'!$DT$42</f>
        <v>1381.7209999999998</v>
      </c>
      <c r="Q9" s="23">
        <f t="shared" si="4"/>
        <v>113897.45599999999</v>
      </c>
      <c r="R9" s="25"/>
      <c r="S9" s="24">
        <f t="shared" si="5"/>
        <v>0.9438384679349402</v>
      </c>
      <c r="T9" s="24">
        <f t="shared" si="6"/>
        <v>5.6161532065059694E-2</v>
      </c>
      <c r="V9" s="24">
        <f t="shared" si="7"/>
        <v>0.93382589391317361</v>
      </c>
      <c r="W9" s="24">
        <f t="shared" si="8"/>
        <v>1.001257402176664E-2</v>
      </c>
      <c r="X9" s="24">
        <f t="shared" si="9"/>
        <v>5.4042834252273679E-2</v>
      </c>
      <c r="Y9" s="24">
        <f t="shared" si="10"/>
        <v>2.1186978127860109E-3</v>
      </c>
    </row>
    <row r="10" spans="2:25" ht="15" x14ac:dyDescent="0.25">
      <c r="B10" s="19">
        <v>43647</v>
      </c>
      <c r="C10" s="20">
        <f>'[7]Consumo Diário'!$C$42</f>
        <v>91509.01999999999</v>
      </c>
      <c r="D10" s="20">
        <f>'[7]Consumo Diário'!$D$42</f>
        <v>1139.96</v>
      </c>
      <c r="E10" s="20">
        <f t="shared" si="1"/>
        <v>92648.98</v>
      </c>
      <c r="F10" s="21"/>
      <c r="G10" s="20">
        <f t="shared" si="0"/>
        <v>4034.2525727272905</v>
      </c>
      <c r="H10" s="20">
        <f t="shared" si="0"/>
        <v>294.59516363636368</v>
      </c>
      <c r="I10" s="20">
        <f t="shared" si="2"/>
        <v>4328.8477363636539</v>
      </c>
      <c r="J10" s="21"/>
      <c r="K10" s="22">
        <f>'[7]Consumo Diário'!$DX$42</f>
        <v>5707.7444272727271</v>
      </c>
      <c r="L10" s="22">
        <f>'[7]Consumo Diário'!$DY$42</f>
        <v>281.91483636363631</v>
      </c>
      <c r="M10" s="22">
        <f t="shared" si="3"/>
        <v>5989.659263636363</v>
      </c>
      <c r="N10" s="21"/>
      <c r="O10" s="23">
        <f>'[7]Consumo Diário'!$DS$42</f>
        <v>101251.01700000001</v>
      </c>
      <c r="P10" s="23">
        <f>'[7]Consumo Diário'!$DT$42</f>
        <v>1716.47</v>
      </c>
      <c r="Q10" s="23">
        <f t="shared" si="4"/>
        <v>102967.48700000001</v>
      </c>
      <c r="R10" s="25"/>
      <c r="S10" s="24">
        <f t="shared" si="5"/>
        <v>0.94182960623641943</v>
      </c>
      <c r="T10" s="24">
        <f t="shared" si="6"/>
        <v>5.8170393763580561E-2</v>
      </c>
      <c r="V10" s="24">
        <f t="shared" si="7"/>
        <v>0.92789748838608899</v>
      </c>
      <c r="W10" s="24">
        <f t="shared" si="8"/>
        <v>1.3932117850330401E-2</v>
      </c>
      <c r="X10" s="24">
        <f t="shared" si="9"/>
        <v>5.5432492270814829E-2</v>
      </c>
      <c r="Y10" s="24">
        <f t="shared" si="10"/>
        <v>2.7379014927657336E-3</v>
      </c>
    </row>
    <row r="11" spans="2:25" ht="15" x14ac:dyDescent="0.25">
      <c r="B11" s="19">
        <v>43678</v>
      </c>
      <c r="C11" s="20">
        <f>'[8]Consumo Diário'!$C$42</f>
        <v>91402.032000000007</v>
      </c>
      <c r="D11" s="20">
        <f>'[8]Consumo Diário'!$D$42</f>
        <v>1125.498</v>
      </c>
      <c r="E11" s="20">
        <f t="shared" si="1"/>
        <v>92527.530000000013</v>
      </c>
      <c r="F11" s="21"/>
      <c r="G11" s="20">
        <f t="shared" si="0"/>
        <v>3977.6534000000074</v>
      </c>
      <c r="H11" s="20">
        <f t="shared" si="0"/>
        <v>263.36560000000009</v>
      </c>
      <c r="I11" s="20">
        <f t="shared" si="2"/>
        <v>4241.0190000000075</v>
      </c>
      <c r="J11" s="21"/>
      <c r="K11" s="22">
        <f>'[8]Consumo Diário'!$DX$42</f>
        <v>5616.7725999999993</v>
      </c>
      <c r="L11" s="22">
        <f>'[8]Consumo Diário'!$DY$42</f>
        <v>267.54639999999995</v>
      </c>
      <c r="M11" s="22">
        <f t="shared" si="3"/>
        <v>5884.3189999999995</v>
      </c>
      <c r="N11" s="21"/>
      <c r="O11" s="23">
        <f>'[8]Consumo Diário'!$DS$42</f>
        <v>100996.45800000001</v>
      </c>
      <c r="P11" s="23">
        <f>'[8]Consumo Diário'!$DT$42</f>
        <v>1656.41</v>
      </c>
      <c r="Q11" s="23">
        <f t="shared" si="4"/>
        <v>102652.86800000002</v>
      </c>
      <c r="R11" s="25"/>
      <c r="S11" s="24">
        <f t="shared" si="5"/>
        <v>0.942677500252599</v>
      </c>
      <c r="T11" s="24">
        <f t="shared" si="6"/>
        <v>5.7322499747401098E-2</v>
      </c>
      <c r="V11" s="24">
        <f t="shared" si="7"/>
        <v>0.92914778961655509</v>
      </c>
      <c r="W11" s="24">
        <f t="shared" si="8"/>
        <v>1.3529710636043796E-2</v>
      </c>
      <c r="X11" s="24">
        <f t="shared" si="9"/>
        <v>5.4716178022420167E-2</v>
      </c>
      <c r="Y11" s="24">
        <f t="shared" si="10"/>
        <v>2.606321724980932E-3</v>
      </c>
    </row>
    <row r="12" spans="2:25" ht="15" x14ac:dyDescent="0.25">
      <c r="B12" s="19">
        <v>43709</v>
      </c>
      <c r="C12" s="20">
        <f>'[9]Consumo Diário'!$C$42</f>
        <v>88616.603999999992</v>
      </c>
      <c r="D12" s="20">
        <f>'[9]Consumo Diário'!$D$42</f>
        <v>1006.6459999999998</v>
      </c>
      <c r="E12" s="20">
        <f t="shared" si="1"/>
        <v>89623.249999999985</v>
      </c>
      <c r="F12" s="21"/>
      <c r="G12" s="20">
        <f t="shared" si="0"/>
        <v>3964.7493999999842</v>
      </c>
      <c r="H12" s="20">
        <f t="shared" si="0"/>
        <v>260.59020000000027</v>
      </c>
      <c r="I12" s="20">
        <f t="shared" si="2"/>
        <v>4225.3395999999848</v>
      </c>
      <c r="J12" s="21"/>
      <c r="K12" s="22">
        <f>'[9]Consumo Diário'!$DX$42</f>
        <v>5364.5346000000009</v>
      </c>
      <c r="L12" s="22">
        <f>'[9]Consumo Diário'!$DY$42</f>
        <v>238.19080000000002</v>
      </c>
      <c r="M12" s="22">
        <f t="shared" si="3"/>
        <v>5602.7254000000012</v>
      </c>
      <c r="N12" s="21"/>
      <c r="O12" s="23">
        <f>'[9]Consumo Diário'!$DS$42</f>
        <v>97945.887999999977</v>
      </c>
      <c r="P12" s="23">
        <f>'[9]Consumo Diário'!$DT$42</f>
        <v>1505.4270000000001</v>
      </c>
      <c r="Q12" s="23">
        <f t="shared" si="4"/>
        <v>99451.314999999973</v>
      </c>
      <c r="R12" s="25"/>
      <c r="S12" s="24">
        <f t="shared" si="5"/>
        <v>0.94366363682571719</v>
      </c>
      <c r="T12" s="24">
        <f t="shared" si="6"/>
        <v>5.6336363174282839E-2</v>
      </c>
      <c r="V12" s="24">
        <f t="shared" si="7"/>
        <v>0.93092135986336633</v>
      </c>
      <c r="W12" s="24">
        <f t="shared" si="8"/>
        <v>1.2742276962350878E-2</v>
      </c>
      <c r="X12" s="24">
        <f t="shared" si="9"/>
        <v>5.3941313898162153E-2</v>
      </c>
      <c r="Y12" s="24">
        <f t="shared" si="10"/>
        <v>2.3950492761206838E-3</v>
      </c>
    </row>
    <row r="13" spans="2:25" ht="15" x14ac:dyDescent="0.25">
      <c r="B13" s="19">
        <v>43739</v>
      </c>
      <c r="C13" s="20">
        <f>'[10]Consumo Diário'!$C$42</f>
        <v>92023.941999999995</v>
      </c>
      <c r="D13" s="20">
        <f>'[10]Consumo Diário'!$D$42</f>
        <v>1226.1680000000001</v>
      </c>
      <c r="E13" s="20">
        <f t="shared" si="1"/>
        <v>93250.11</v>
      </c>
      <c r="F13" s="21"/>
      <c r="G13" s="20">
        <f t="shared" si="0"/>
        <v>3226.0328999999892</v>
      </c>
      <c r="H13" s="20">
        <f t="shared" si="0"/>
        <v>199.44900000000001</v>
      </c>
      <c r="I13" s="20">
        <f t="shared" si="2"/>
        <v>3425.4818999999893</v>
      </c>
      <c r="J13" s="21"/>
      <c r="K13" s="22">
        <f>'[10]Consumo Diário'!$DT$42</f>
        <v>5718.3920999999991</v>
      </c>
      <c r="L13" s="22">
        <f>'[10]Consumo Diário'!$DU$42</f>
        <v>287.73399999999998</v>
      </c>
      <c r="M13" s="22">
        <f t="shared" si="3"/>
        <v>6006.1260999999995</v>
      </c>
      <c r="N13" s="21"/>
      <c r="O13" s="23">
        <f>'[10]Consumo Diário'!$DO$42</f>
        <v>100968.36699999998</v>
      </c>
      <c r="P13" s="23">
        <f>'[10]Consumo Diário'!$DP$42</f>
        <v>1713.3510000000001</v>
      </c>
      <c r="Q13" s="23">
        <f t="shared" si="4"/>
        <v>102681.71799999998</v>
      </c>
      <c r="R13" s="25"/>
      <c r="S13" s="24">
        <f t="shared" si="5"/>
        <v>0.94150734700406946</v>
      </c>
      <c r="T13" s="24">
        <f t="shared" si="6"/>
        <v>5.8492652995930594E-2</v>
      </c>
      <c r="V13" s="24">
        <f t="shared" si="7"/>
        <v>0.927623502559628</v>
      </c>
      <c r="W13" s="24">
        <f t="shared" si="8"/>
        <v>1.3883844444441419E-2</v>
      </c>
      <c r="X13" s="24">
        <f t="shared" si="9"/>
        <v>5.5690459912250398E-2</v>
      </c>
      <c r="Y13" s="24">
        <f t="shared" si="10"/>
        <v>2.8021930836801935E-3</v>
      </c>
    </row>
    <row r="14" spans="2:25" ht="15" x14ac:dyDescent="0.25">
      <c r="B14" s="19">
        <v>43770</v>
      </c>
      <c r="C14" s="20">
        <f>'[11]Consumo Diário'!$C$42</f>
        <v>94358.725000000006</v>
      </c>
      <c r="D14" s="20">
        <f>'[11]Consumo Diário'!$D$42</f>
        <v>1006.117</v>
      </c>
      <c r="E14" s="20">
        <f t="shared" si="1"/>
        <v>95364.842000000004</v>
      </c>
      <c r="F14" s="21"/>
      <c r="G14" s="20">
        <f t="shared" si="0"/>
        <v>3695.7019999999948</v>
      </c>
      <c r="H14" s="20">
        <f t="shared" si="0"/>
        <v>204.45860000000005</v>
      </c>
      <c r="I14" s="20">
        <f t="shared" si="2"/>
        <v>3900.1605999999947</v>
      </c>
      <c r="J14" s="21"/>
      <c r="K14" s="22">
        <f>'[11]Consumo Diário'!$DT$42</f>
        <v>5397.6219999999985</v>
      </c>
      <c r="L14" s="22">
        <f>'[11]Consumo Diário'!$DU$42</f>
        <v>243.5204</v>
      </c>
      <c r="M14" s="22">
        <f t="shared" si="3"/>
        <v>5641.1423999999988</v>
      </c>
      <c r="N14" s="21"/>
      <c r="O14" s="23">
        <f>'[11]Consumo Diário'!$DO$42</f>
        <v>103452.049</v>
      </c>
      <c r="P14" s="23">
        <f>'[11]Consumo Diário'!$DP$42</f>
        <v>1454.096</v>
      </c>
      <c r="Q14" s="23">
        <f t="shared" si="4"/>
        <v>104906.145</v>
      </c>
      <c r="R14" s="25"/>
      <c r="S14" s="24">
        <f t="shared" si="5"/>
        <v>0.94622676869882116</v>
      </c>
      <c r="T14" s="24">
        <f t="shared" si="6"/>
        <v>5.3773231301178767E-2</v>
      </c>
      <c r="V14" s="24">
        <f t="shared" si="7"/>
        <v>0.93468716251083284</v>
      </c>
      <c r="W14" s="24">
        <f t="shared" si="8"/>
        <v>1.1539606187988322E-2</v>
      </c>
      <c r="X14" s="24">
        <f t="shared" si="9"/>
        <v>5.1451914470787181E-2</v>
      </c>
      <c r="Y14" s="24">
        <f t="shared" si="10"/>
        <v>2.3213168303915848E-3</v>
      </c>
    </row>
    <row r="15" spans="2:25" ht="15" x14ac:dyDescent="0.25">
      <c r="B15" s="19">
        <v>43800</v>
      </c>
      <c r="C15" s="20">
        <f>'[12]Consumo Diário'!$C$42</f>
        <v>125856.379</v>
      </c>
      <c r="D15" s="20">
        <f>'[12]Consumo Diário'!$D$42</f>
        <v>948.05000000000007</v>
      </c>
      <c r="E15" s="20">
        <f t="shared" si="1"/>
        <v>126804.429</v>
      </c>
      <c r="F15" s="21"/>
      <c r="G15" s="20">
        <f t="shared" si="0"/>
        <v>4804.4613000000309</v>
      </c>
      <c r="H15" s="20">
        <f t="shared" si="0"/>
        <v>306.76939999999956</v>
      </c>
      <c r="I15" s="20">
        <f t="shared" si="2"/>
        <v>5111.2307000000301</v>
      </c>
      <c r="J15" s="21"/>
      <c r="K15" s="22">
        <f>'[12]Consumo Diário'!$DT$42</f>
        <v>6743.4746999999998</v>
      </c>
      <c r="L15" s="22">
        <f>'[12]Consumo Diário'!$DU$42</f>
        <v>295.42460000000005</v>
      </c>
      <c r="M15" s="22">
        <f t="shared" si="3"/>
        <v>7038.8993</v>
      </c>
      <c r="N15" s="21"/>
      <c r="O15" s="23">
        <f>'[12]Consumo Diário'!$DO$42</f>
        <v>137404.31500000003</v>
      </c>
      <c r="P15" s="23">
        <f>'[12]Consumo Diário'!$DP$42</f>
        <v>1550.2439999999997</v>
      </c>
      <c r="Q15" s="23">
        <f t="shared" si="4"/>
        <v>138954.55900000004</v>
      </c>
      <c r="R15" s="25"/>
      <c r="S15" s="24">
        <f t="shared" si="5"/>
        <v>0.94934387651145735</v>
      </c>
      <c r="T15" s="24">
        <f t="shared" si="6"/>
        <v>5.0656123488542738E-2</v>
      </c>
      <c r="V15" s="24">
        <f t="shared" si="7"/>
        <v>0.94031344664265382</v>
      </c>
      <c r="W15" s="24">
        <f t="shared" si="8"/>
        <v>9.0304298688033639E-3</v>
      </c>
      <c r="X15" s="24">
        <f t="shared" si="9"/>
        <v>4.8530071618592935E-2</v>
      </c>
      <c r="Y15" s="24">
        <f t="shared" si="10"/>
        <v>2.1260518699498013E-3</v>
      </c>
    </row>
    <row r="16" spans="2:25" ht="15" x14ac:dyDescent="0.25">
      <c r="B16" s="19">
        <v>43831</v>
      </c>
      <c r="C16" s="20">
        <f>'[13]Consumo Diário'!$C$42</f>
        <v>126534.02600000001</v>
      </c>
      <c r="D16" s="20">
        <f>'[13]Consumo Diário'!$D$42</f>
        <v>1003.6680000000003</v>
      </c>
      <c r="E16" s="20">
        <f t="shared" si="1"/>
        <v>127537.69400000002</v>
      </c>
      <c r="F16" s="21"/>
      <c r="G16" s="20">
        <f t="shared" si="0"/>
        <v>4892.1755999999659</v>
      </c>
      <c r="H16" s="20">
        <f t="shared" si="0"/>
        <v>294.87139999999971</v>
      </c>
      <c r="I16" s="20">
        <f t="shared" si="2"/>
        <v>5187.0469999999659</v>
      </c>
      <c r="J16" s="21"/>
      <c r="K16" s="22">
        <f>'[13]Consumo Diário'!$DT$42</f>
        <v>6989.1944000000003</v>
      </c>
      <c r="L16" s="22">
        <f>'[13]Consumo Diário'!$DU$42</f>
        <v>293.54559999999998</v>
      </c>
      <c r="M16" s="22">
        <f t="shared" si="3"/>
        <v>7282.7400000000007</v>
      </c>
      <c r="N16" s="21"/>
      <c r="O16" s="23">
        <f>'[13]Consumo Diário'!$DO$42</f>
        <v>138415.39599999998</v>
      </c>
      <c r="P16" s="23">
        <f>'[13]Consumo Diário'!$DP$42</f>
        <v>1592.085</v>
      </c>
      <c r="Q16" s="23">
        <f t="shared" si="4"/>
        <v>140007.48099999997</v>
      </c>
      <c r="R16" s="25"/>
      <c r="S16" s="24">
        <f t="shared" si="5"/>
        <v>0.94798320812585724</v>
      </c>
      <c r="T16" s="24">
        <f t="shared" si="6"/>
        <v>5.20167918741428E-2</v>
      </c>
      <c r="V16" s="24">
        <f t="shared" si="7"/>
        <v>0.93870842230209117</v>
      </c>
      <c r="W16" s="24">
        <f t="shared" si="8"/>
        <v>9.2747858237660907E-3</v>
      </c>
      <c r="X16" s="24">
        <f t="shared" si="9"/>
        <v>4.9920149624004748E-2</v>
      </c>
      <c r="Y16" s="24">
        <f t="shared" si="10"/>
        <v>2.0966422501380484E-3</v>
      </c>
    </row>
    <row r="17" spans="2:25" ht="15" x14ac:dyDescent="0.25">
      <c r="B17" s="19">
        <v>43862</v>
      </c>
      <c r="C17" s="20">
        <f>'[13]Consumo Diário'!$C$42</f>
        <v>126534.02600000001</v>
      </c>
      <c r="D17" s="20">
        <f>'[13]Consumo Diário'!$D$42</f>
        <v>1003.6680000000003</v>
      </c>
      <c r="E17" s="20">
        <f t="shared" si="1"/>
        <v>127537.69400000002</v>
      </c>
      <c r="F17" s="21"/>
      <c r="G17" s="20">
        <f t="shared" si="0"/>
        <v>1747.0056000000113</v>
      </c>
      <c r="H17" s="20">
        <f t="shared" si="0"/>
        <v>103.47639999999973</v>
      </c>
      <c r="I17" s="20">
        <f t="shared" si="2"/>
        <v>1850.4820000000111</v>
      </c>
      <c r="J17" s="21"/>
      <c r="K17" s="22">
        <f>'[13]Consumo Diário'!$DT$42</f>
        <v>6989.1944000000003</v>
      </c>
      <c r="L17" s="22">
        <f>'[13]Consumo Diário'!$DU$42</f>
        <v>293.54559999999998</v>
      </c>
      <c r="M17" s="22">
        <f t="shared" si="3"/>
        <v>7282.7400000000007</v>
      </c>
      <c r="N17" s="21"/>
      <c r="O17" s="23">
        <f>'[14]Consumo Diário'!$DN$42</f>
        <v>135270.22600000002</v>
      </c>
      <c r="P17" s="23">
        <f>'[14]Consumo Diário'!$DO$42</f>
        <v>1400.69</v>
      </c>
      <c r="Q17" s="23">
        <f t="shared" si="4"/>
        <v>136670.91600000003</v>
      </c>
      <c r="R17" s="25"/>
      <c r="S17" s="24">
        <f t="shared" si="5"/>
        <v>0.94671331536257508</v>
      </c>
      <c r="T17" s="24">
        <f t="shared" si="6"/>
        <v>5.3286684637424975E-2</v>
      </c>
      <c r="V17" s="24">
        <f t="shared" si="7"/>
        <v>0.93861251065296136</v>
      </c>
      <c r="W17" s="24">
        <f t="shared" si="8"/>
        <v>8.1008047096135655E-3</v>
      </c>
      <c r="X17" s="24">
        <f t="shared" si="9"/>
        <v>5.1138856785009026E-2</v>
      </c>
      <c r="Y17" s="24">
        <f t="shared" si="10"/>
        <v>2.1478278524159444E-3</v>
      </c>
    </row>
    <row r="18" spans="2:25" ht="15" x14ac:dyDescent="0.25">
      <c r="B18" s="19">
        <v>43891</v>
      </c>
      <c r="C18" s="20">
        <f>'[14]Consumo Diário'!$C$42</f>
        <v>124104.38399999999</v>
      </c>
      <c r="D18" s="20">
        <f>'[14]Consumo Diário'!$D$42</f>
        <v>891.38</v>
      </c>
      <c r="E18" s="20">
        <f t="shared" si="1"/>
        <v>124995.764</v>
      </c>
      <c r="F18" s="21"/>
      <c r="G18" s="20">
        <f t="shared" si="0"/>
        <v>10504.427599999988</v>
      </c>
      <c r="H18" s="20">
        <f t="shared" si="0"/>
        <v>465.13559999999995</v>
      </c>
      <c r="I18" s="20">
        <f t="shared" si="2"/>
        <v>10969.563199999988</v>
      </c>
      <c r="J18" s="21"/>
      <c r="K18" s="22">
        <f>'[14]Consumo Diário'!$DS$42</f>
        <v>6540.3073999999979</v>
      </c>
      <c r="L18" s="22">
        <f>'[14]Consumo Diário'!$DT$42</f>
        <v>261.8614</v>
      </c>
      <c r="M18" s="22">
        <f t="shared" si="3"/>
        <v>6802.1687999999976</v>
      </c>
      <c r="N18" s="21"/>
      <c r="O18" s="23">
        <f>'[15]Consumo Diário'!$ED$42</f>
        <v>141149.11899999998</v>
      </c>
      <c r="P18" s="23">
        <f>'[15]Consumo Diário'!$EE$42</f>
        <v>1618.377</v>
      </c>
      <c r="Q18" s="23">
        <f t="shared" si="4"/>
        <v>142767.49599999998</v>
      </c>
      <c r="R18" s="25"/>
      <c r="S18" s="24">
        <f t="shared" si="5"/>
        <v>0.95235491977809839</v>
      </c>
      <c r="T18" s="24">
        <f t="shared" si="6"/>
        <v>4.7645080221901476E-2</v>
      </c>
      <c r="V18" s="24">
        <f t="shared" si="7"/>
        <v>0.94285334807581134</v>
      </c>
      <c r="W18" s="24">
        <f t="shared" si="8"/>
        <v>9.501571702287194E-3</v>
      </c>
      <c r="X18" s="24">
        <f t="shared" si="9"/>
        <v>4.5810899422092537E-2</v>
      </c>
      <c r="Y18" s="24">
        <f t="shared" si="10"/>
        <v>1.8341807998089427E-3</v>
      </c>
    </row>
    <row r="19" spans="2:25" ht="15" x14ac:dyDescent="0.25">
      <c r="B19" s="19">
        <v>43922</v>
      </c>
      <c r="C19" s="20">
        <f>'[15]Consumo Diário'!$C$42</f>
        <v>129409.28700000001</v>
      </c>
      <c r="D19" s="20">
        <f>'[15]Consumo Diário'!$D$42</f>
        <v>1008.7499999999999</v>
      </c>
      <c r="E19" s="20">
        <f t="shared" si="1"/>
        <v>130418.03700000001</v>
      </c>
      <c r="F19" s="21"/>
      <c r="G19" s="20">
        <f t="shared" si="0"/>
        <v>7294.4595570383335</v>
      </c>
      <c r="H19" s="20">
        <f t="shared" si="0"/>
        <v>303.34354258774243</v>
      </c>
      <c r="I19" s="20">
        <f t="shared" si="2"/>
        <v>7597.8030996260759</v>
      </c>
      <c r="J19" s="21"/>
      <c r="K19" s="22">
        <f>'[15]Consumo Diário'!$EI$42</f>
        <v>6895.1214429616721</v>
      </c>
      <c r="L19" s="22">
        <f>'[15]Consumo Diário'!$EJ$42</f>
        <v>306.28345741225763</v>
      </c>
      <c r="M19" s="22">
        <f t="shared" si="3"/>
        <v>7201.4049003739301</v>
      </c>
      <c r="N19" s="21"/>
      <c r="O19" s="23">
        <f>'[16]Consumo Diário'!$ED$42</f>
        <v>143598.86800000002</v>
      </c>
      <c r="P19" s="23">
        <f>'[15]Consumo Diário'!$EE$42</f>
        <v>1618.377</v>
      </c>
      <c r="Q19" s="23">
        <f t="shared" si="4"/>
        <v>145217.24500000002</v>
      </c>
      <c r="R19" s="25"/>
      <c r="S19" s="24">
        <f t="shared" si="5"/>
        <v>0.95040943725124416</v>
      </c>
      <c r="T19" s="24">
        <f t="shared" si="6"/>
        <v>4.9590562748755694E-2</v>
      </c>
      <c r="V19" s="24">
        <f t="shared" si="7"/>
        <v>0.94137405345376379</v>
      </c>
      <c r="W19" s="24">
        <f t="shared" si="8"/>
        <v>9.0353837974804039E-3</v>
      </c>
      <c r="X19" s="24">
        <f t="shared" si="9"/>
        <v>4.7481423042846395E-2</v>
      </c>
      <c r="Y19" s="24">
        <f t="shared" si="10"/>
        <v>2.1091397059092919E-3</v>
      </c>
    </row>
    <row r="20" spans="2:25" ht="15" x14ac:dyDescent="0.25">
      <c r="B20" s="19">
        <v>43952</v>
      </c>
      <c r="C20" s="20">
        <f>'[17]Consumo Diário'!$C$42</f>
        <v>137360.64299999998</v>
      </c>
      <c r="D20" s="20">
        <f>'[17]Consumo Diário'!$D$42</f>
        <v>950.99399999999991</v>
      </c>
      <c r="E20" s="20">
        <f t="shared" si="1"/>
        <v>138311.63699999999</v>
      </c>
      <c r="F20" s="21"/>
      <c r="G20" s="20">
        <f t="shared" si="0"/>
        <v>4897.5224215234412</v>
      </c>
      <c r="H20" s="20">
        <f t="shared" si="0"/>
        <v>261.48373447808746</v>
      </c>
      <c r="I20" s="20">
        <f t="shared" si="2"/>
        <v>5159.0061560015283</v>
      </c>
      <c r="J20" s="21"/>
      <c r="K20" s="22">
        <f>'[17]Consumo Diário'!$EI$42</f>
        <v>6856.1425784766252</v>
      </c>
      <c r="L20" s="22">
        <f>'[17]Consumo Diário'!$EJ$42</f>
        <v>290.46926552191275</v>
      </c>
      <c r="M20" s="22">
        <f t="shared" si="3"/>
        <v>7146.6118439985376</v>
      </c>
      <c r="N20" s="21"/>
      <c r="O20" s="23">
        <f>'[17]Consumo Diário'!$ED$42</f>
        <v>149114.30800000005</v>
      </c>
      <c r="P20" s="23">
        <f>'[17]Consumo Diário'!$EE$42</f>
        <v>1502.9470000000001</v>
      </c>
      <c r="Q20" s="23">
        <f t="shared" si="4"/>
        <v>150617.25500000006</v>
      </c>
      <c r="R20" s="25"/>
      <c r="S20" s="24">
        <f t="shared" si="5"/>
        <v>0.95255117453841165</v>
      </c>
      <c r="T20" s="24">
        <f t="shared" si="6"/>
        <v>4.7448825461588282E-2</v>
      </c>
      <c r="V20" s="24">
        <f t="shared" si="7"/>
        <v>0.94450111590151709</v>
      </c>
      <c r="W20" s="24">
        <f t="shared" si="8"/>
        <v>8.05005863689447E-3</v>
      </c>
      <c r="X20" s="24">
        <f t="shared" si="9"/>
        <v>4.5520299639484348E-2</v>
      </c>
      <c r="Y20" s="24">
        <f t="shared" si="10"/>
        <v>1.9285258221039324E-3</v>
      </c>
    </row>
    <row r="21" spans="2:25" ht="15" x14ac:dyDescent="0.25">
      <c r="B21" s="19">
        <v>43983</v>
      </c>
      <c r="C21" s="20">
        <f>'[18]Consumo Diário'!$C$42</f>
        <v>132342.079</v>
      </c>
      <c r="D21" s="20">
        <f>'[18]Consumo Diário'!$D$42</f>
        <v>961.61500000000012</v>
      </c>
      <c r="E21" s="20">
        <f t="shared" si="1"/>
        <v>133303.69399999999</v>
      </c>
      <c r="F21" s="21"/>
      <c r="G21" s="20">
        <f t="shared" si="0"/>
        <v>4988.1317829022028</v>
      </c>
      <c r="H21" s="20">
        <f t="shared" si="0"/>
        <v>309.07096413136645</v>
      </c>
      <c r="I21" s="20">
        <f t="shared" si="2"/>
        <v>5297.2027470335688</v>
      </c>
      <c r="J21" s="21"/>
      <c r="K21" s="22">
        <f>'[18]Consumo Diário'!$EI$42</f>
        <v>6473.553217097824</v>
      </c>
      <c r="L21" s="22">
        <f>'[18]Consumo Diário'!$EJ$42</f>
        <v>297.53503586863343</v>
      </c>
      <c r="M21" s="22">
        <f t="shared" si="3"/>
        <v>6771.0882529664577</v>
      </c>
      <c r="N21" s="21"/>
      <c r="O21" s="23">
        <f>'[18]Consumo Diário'!$ED$42</f>
        <v>143803.76400000002</v>
      </c>
      <c r="P21" s="23">
        <f>'[18]Consumo Diário'!$EE$42</f>
        <v>1568.221</v>
      </c>
      <c r="Q21" s="23">
        <f t="shared" si="4"/>
        <v>145371.98500000002</v>
      </c>
      <c r="R21" s="25"/>
      <c r="S21" s="24">
        <f t="shared" si="5"/>
        <v>0.95342233063016602</v>
      </c>
      <c r="T21" s="24">
        <f t="shared" si="6"/>
        <v>4.6577669369833929E-2</v>
      </c>
      <c r="V21" s="24">
        <f t="shared" si="7"/>
        <v>0.94468140324906602</v>
      </c>
      <c r="W21" s="24">
        <f t="shared" si="8"/>
        <v>8.7409273811000551E-3</v>
      </c>
      <c r="X21" s="24">
        <f t="shared" si="9"/>
        <v>4.4530954276354028E-2</v>
      </c>
      <c r="Y21" s="24">
        <f t="shared" si="10"/>
        <v>2.0467150934798985E-3</v>
      </c>
    </row>
    <row r="22" spans="2:25" ht="15" x14ac:dyDescent="0.25">
      <c r="B22" s="19">
        <v>44013</v>
      </c>
      <c r="C22" s="20">
        <f>'[19]Consumo Diário'!$C$42</f>
        <v>136582.7274</v>
      </c>
      <c r="D22" s="20">
        <f>'[19]Consumo Diário'!$D$42</f>
        <v>1046.4178999999999</v>
      </c>
      <c r="E22" s="20">
        <f t="shared" si="1"/>
        <v>137629.1453</v>
      </c>
      <c r="F22" s="21"/>
      <c r="G22" s="20">
        <f t="shared" si="0"/>
        <v>4923.470174074062</v>
      </c>
      <c r="H22" s="20">
        <f t="shared" si="0"/>
        <v>315.10317058134734</v>
      </c>
      <c r="I22" s="20">
        <f t="shared" si="2"/>
        <v>5238.5733446554095</v>
      </c>
      <c r="J22" s="21"/>
      <c r="K22" s="22">
        <f>'[19]Consumo Diário'!$EI$42</f>
        <v>6750.2004259259211</v>
      </c>
      <c r="L22" s="22">
        <f>'[19]Consumo Diário'!$EJ$42</f>
        <v>350.8609294186528</v>
      </c>
      <c r="M22" s="22">
        <f t="shared" si="3"/>
        <v>7101.0613553445737</v>
      </c>
      <c r="N22" s="21"/>
      <c r="O22" s="23">
        <f>'[19]Consumo Diário'!$ED$42</f>
        <v>148256.39799999999</v>
      </c>
      <c r="P22" s="23">
        <f>'[19]Consumo Diário'!$EE$42</f>
        <v>1712.3820000000001</v>
      </c>
      <c r="Q22" s="23">
        <f t="shared" si="4"/>
        <v>149968.78</v>
      </c>
      <c r="R22" s="25"/>
      <c r="S22" s="24">
        <f t="shared" si="5"/>
        <v>0.9526497357960465</v>
      </c>
      <c r="T22" s="24">
        <f t="shared" si="6"/>
        <v>4.7350264203953475E-2</v>
      </c>
      <c r="V22" s="24">
        <f t="shared" si="7"/>
        <v>0.94357103907942752</v>
      </c>
      <c r="W22" s="24">
        <f t="shared" si="8"/>
        <v>9.0786967166189333E-3</v>
      </c>
      <c r="X22" s="24">
        <f t="shared" si="9"/>
        <v>4.5010704400782094E-2</v>
      </c>
      <c r="Y22" s="24">
        <f t="shared" si="10"/>
        <v>2.3395598031713855E-3</v>
      </c>
    </row>
    <row r="23" spans="2:25" ht="15" x14ac:dyDescent="0.25">
      <c r="B23" s="19">
        <v>44044</v>
      </c>
      <c r="C23" s="20">
        <f>'[20]Consumo Diário'!$C$42</f>
        <v>139258.68</v>
      </c>
      <c r="D23" s="20">
        <f>'[20]Consumo Diário'!$D$42</f>
        <v>1017.0250000000001</v>
      </c>
      <c r="E23" s="20">
        <f t="shared" si="1"/>
        <v>140275.70499999999</v>
      </c>
      <c r="F23" s="21"/>
      <c r="G23" s="20">
        <f t="shared" si="0"/>
        <v>4943.6308964098871</v>
      </c>
      <c r="H23" s="20">
        <f t="shared" si="0"/>
        <v>284.38390206648836</v>
      </c>
      <c r="I23" s="20">
        <f t="shared" si="2"/>
        <v>5228.0147984763753</v>
      </c>
      <c r="J23" s="21"/>
      <c r="K23" s="22">
        <f>'[20]Consumo Diário'!$EI$42</f>
        <v>7040.4301035900999</v>
      </c>
      <c r="L23" s="22">
        <f>'[20]Consumo Diário'!$EJ$42</f>
        <v>281.94409793351139</v>
      </c>
      <c r="M23" s="22">
        <f t="shared" si="3"/>
        <v>7322.3742015236112</v>
      </c>
      <c r="N23" s="21"/>
      <c r="O23" s="23">
        <f>'[20]Consumo Diário'!$ED$42</f>
        <v>151242.74099999998</v>
      </c>
      <c r="P23" s="23">
        <f>'[20]Consumo Diário'!$EE$42</f>
        <v>1583.3529999999998</v>
      </c>
      <c r="Q23" s="23">
        <f t="shared" si="4"/>
        <v>152826.09399999998</v>
      </c>
      <c r="R23" s="25"/>
      <c r="S23" s="24">
        <f t="shared" si="5"/>
        <v>0.95208688510010853</v>
      </c>
      <c r="T23" s="24">
        <f t="shared" si="6"/>
        <v>4.7913114899891453E-2</v>
      </c>
      <c r="V23" s="24">
        <f t="shared" si="7"/>
        <v>0.94357126536525826</v>
      </c>
      <c r="W23" s="24">
        <f t="shared" si="8"/>
        <v>8.5156197348503111E-3</v>
      </c>
      <c r="X23" s="24">
        <f t="shared" si="9"/>
        <v>4.6068246065296289E-2</v>
      </c>
      <c r="Y23" s="24">
        <f t="shared" si="10"/>
        <v>1.8448688345951668E-3</v>
      </c>
    </row>
    <row r="24" spans="2:25" ht="15" x14ac:dyDescent="0.25">
      <c r="B24" s="19">
        <v>44075</v>
      </c>
      <c r="C24" s="20">
        <v>130047.22799999996</v>
      </c>
      <c r="D24" s="20">
        <v>1037.2089999999998</v>
      </c>
      <c r="E24" s="20">
        <f t="shared" si="1"/>
        <v>131084.43699999995</v>
      </c>
      <c r="F24" s="21"/>
      <c r="G24" s="20">
        <f t="shared" ref="G24:H35" si="11">O24-C24-K24</f>
        <v>4692.3853586526329</v>
      </c>
      <c r="H24" s="20">
        <f t="shared" si="11"/>
        <v>285.72194050452043</v>
      </c>
      <c r="I24" s="20">
        <f t="shared" si="2"/>
        <v>4978.1072991571536</v>
      </c>
      <c r="J24" s="21"/>
      <c r="K24" s="22">
        <v>6644.4096413474235</v>
      </c>
      <c r="L24" s="22">
        <v>266.65505949547975</v>
      </c>
      <c r="M24" s="22">
        <f t="shared" si="3"/>
        <v>6911.0647008429032</v>
      </c>
      <c r="N24" s="21"/>
      <c r="O24" s="23">
        <v>141384.02300000002</v>
      </c>
      <c r="P24" s="23">
        <v>1589.586</v>
      </c>
      <c r="Q24" s="23">
        <f t="shared" si="4"/>
        <v>142973.60900000003</v>
      </c>
      <c r="R24" s="25"/>
      <c r="S24" s="24">
        <f t="shared" si="5"/>
        <v>0.9516619553134249</v>
      </c>
      <c r="T24" s="24">
        <f t="shared" si="6"/>
        <v>4.8338044686575002E-2</v>
      </c>
      <c r="V24" s="24">
        <f t="shared" si="7"/>
        <v>0.94240898233640147</v>
      </c>
      <c r="W24" s="24">
        <f t="shared" si="8"/>
        <v>9.2529729770234742E-3</v>
      </c>
      <c r="X24" s="24">
        <f t="shared" si="9"/>
        <v>4.6472979788510636E-2</v>
      </c>
      <c r="Y24" s="24">
        <f t="shared" si="10"/>
        <v>1.8650648980643673E-3</v>
      </c>
    </row>
    <row r="25" spans="2:25" ht="15" x14ac:dyDescent="0.25">
      <c r="B25" s="19">
        <v>44105</v>
      </c>
      <c r="C25" s="20">
        <v>131971.46500000003</v>
      </c>
      <c r="D25" s="20">
        <v>959.06899999999996</v>
      </c>
      <c r="E25" s="20">
        <f t="shared" si="1"/>
        <v>132930.53400000001</v>
      </c>
      <c r="F25" s="21"/>
      <c r="G25" s="20">
        <f t="shared" si="11"/>
        <v>5206.2973513197403</v>
      </c>
      <c r="H25" s="20">
        <f t="shared" si="11"/>
        <v>280.57778030853211</v>
      </c>
      <c r="I25" s="20">
        <f t="shared" si="2"/>
        <v>5486.8751316282724</v>
      </c>
      <c r="J25" s="21"/>
      <c r="K25" s="22">
        <v>6886.7356486801973</v>
      </c>
      <c r="L25" s="22">
        <v>308.77721969146745</v>
      </c>
      <c r="M25" s="22">
        <f t="shared" si="3"/>
        <v>7195.5128683716648</v>
      </c>
      <c r="N25" s="21"/>
      <c r="O25" s="23">
        <v>144064.49799999996</v>
      </c>
      <c r="P25" s="23">
        <v>1548.4239999999995</v>
      </c>
      <c r="Q25" s="23">
        <f t="shared" si="4"/>
        <v>145612.92199999996</v>
      </c>
      <c r="R25" s="25"/>
      <c r="S25" s="24">
        <f t="shared" si="5"/>
        <v>0.95058465437310791</v>
      </c>
      <c r="T25" s="24">
        <f t="shared" si="6"/>
        <v>4.9415345626892003E-2</v>
      </c>
      <c r="V25" s="24">
        <f t="shared" si="7"/>
        <v>0.94207135237159656</v>
      </c>
      <c r="W25" s="24">
        <f t="shared" si="8"/>
        <v>8.5133020015114615E-3</v>
      </c>
      <c r="X25" s="24">
        <f t="shared" si="9"/>
        <v>4.7294811161609676E-2</v>
      </c>
      <c r="Y25" s="24">
        <f t="shared" si="10"/>
        <v>2.1205344652823295E-3</v>
      </c>
    </row>
    <row r="26" spans="2:25" ht="15" x14ac:dyDescent="0.25">
      <c r="B26" s="19">
        <v>44136</v>
      </c>
      <c r="C26" s="20">
        <v>105349.78530000002</v>
      </c>
      <c r="D26" s="20">
        <v>903.23099999999999</v>
      </c>
      <c r="E26" s="20">
        <f t="shared" si="1"/>
        <v>106253.01630000002</v>
      </c>
      <c r="F26" s="21"/>
      <c r="G26" s="20">
        <f t="shared" si="11"/>
        <v>3976.5510512157553</v>
      </c>
      <c r="H26" s="20">
        <f t="shared" si="11"/>
        <v>280.28073005995861</v>
      </c>
      <c r="I26" s="20">
        <f t="shared" si="2"/>
        <v>4256.8317812757141</v>
      </c>
      <c r="J26" s="21"/>
      <c r="K26" s="22">
        <v>5328.8666487842211</v>
      </c>
      <c r="L26" s="22">
        <v>259.90826994004146</v>
      </c>
      <c r="M26" s="22">
        <f t="shared" si="3"/>
        <v>5588.7749187242625</v>
      </c>
      <c r="N26" s="21"/>
      <c r="O26" s="23">
        <v>114655.20299999999</v>
      </c>
      <c r="P26" s="23">
        <v>1443.42</v>
      </c>
      <c r="Q26" s="23">
        <f t="shared" si="4"/>
        <v>116098.62299999999</v>
      </c>
      <c r="R26" s="25"/>
      <c r="S26" s="24">
        <f t="shared" si="5"/>
        <v>0.95186183285977255</v>
      </c>
      <c r="T26" s="24">
        <f t="shared" si="6"/>
        <v>4.813816714022752E-2</v>
      </c>
      <c r="V26" s="24">
        <f t="shared" si="7"/>
        <v>0.94166781247022868</v>
      </c>
      <c r="W26" s="24">
        <f t="shared" si="8"/>
        <v>1.01940203895438E-2</v>
      </c>
      <c r="X26" s="24">
        <f t="shared" si="9"/>
        <v>4.5899481932565399E-2</v>
      </c>
      <c r="Y26" s="24">
        <f t="shared" si="10"/>
        <v>2.2386852076621225E-3</v>
      </c>
    </row>
    <row r="27" spans="2:25" ht="15" x14ac:dyDescent="0.25">
      <c r="B27" s="19">
        <v>44166</v>
      </c>
      <c r="C27" s="20">
        <v>134346.25810000001</v>
      </c>
      <c r="D27" s="20">
        <v>1021.5759999999998</v>
      </c>
      <c r="E27" s="20">
        <f t="shared" si="1"/>
        <v>135367.83410000001</v>
      </c>
      <c r="F27" s="21"/>
      <c r="G27" s="20">
        <f t="shared" si="11"/>
        <v>4945.3745012161717</v>
      </c>
      <c r="H27" s="20">
        <f t="shared" si="11"/>
        <v>273.8194244517635</v>
      </c>
      <c r="I27" s="20">
        <f t="shared" si="2"/>
        <v>5219.1939256679352</v>
      </c>
      <c r="J27" s="21"/>
      <c r="K27" s="22">
        <v>6782.3413987838385</v>
      </c>
      <c r="L27" s="22">
        <v>295.96457554823661</v>
      </c>
      <c r="M27" s="22">
        <f t="shared" si="3"/>
        <v>7078.3059743320755</v>
      </c>
      <c r="N27" s="21"/>
      <c r="O27" s="23">
        <v>146073.97400000002</v>
      </c>
      <c r="P27" s="23">
        <v>1591.36</v>
      </c>
      <c r="Q27" s="23">
        <f t="shared" si="4"/>
        <v>147665.334</v>
      </c>
      <c r="R27" s="25"/>
      <c r="S27" s="24">
        <f t="shared" si="5"/>
        <v>0.95206521542603861</v>
      </c>
      <c r="T27" s="24">
        <f t="shared" si="6"/>
        <v>4.7934784573961518E-2</v>
      </c>
      <c r="V27" s="24">
        <f t="shared" si="7"/>
        <v>0.94329270674467292</v>
      </c>
      <c r="W27" s="24">
        <f t="shared" si="8"/>
        <v>8.7725086813656844E-3</v>
      </c>
      <c r="X27" s="24">
        <f t="shared" si="9"/>
        <v>4.5930491707578694E-2</v>
      </c>
      <c r="Y27" s="24">
        <f t="shared" si="10"/>
        <v>2.0042928663828209E-3</v>
      </c>
    </row>
    <row r="28" spans="2:25" ht="15" x14ac:dyDescent="0.25">
      <c r="B28" s="19">
        <v>44197</v>
      </c>
      <c r="C28" s="20">
        <v>136708.41530000005</v>
      </c>
      <c r="D28" s="20">
        <v>933.0492999999999</v>
      </c>
      <c r="E28" s="20">
        <f t="shared" si="1"/>
        <v>137641.46460000006</v>
      </c>
      <c r="F28" s="21"/>
      <c r="G28" s="20">
        <f t="shared" si="11"/>
        <v>4967.8050457325089</v>
      </c>
      <c r="H28" s="20">
        <f t="shared" si="11"/>
        <v>252.57242556328077</v>
      </c>
      <c r="I28" s="20">
        <f t="shared" si="2"/>
        <v>5220.3774712957893</v>
      </c>
      <c r="J28" s="21"/>
      <c r="K28" s="22">
        <v>6982.6416542674624</v>
      </c>
      <c r="L28" s="22">
        <v>300.43627443671932</v>
      </c>
      <c r="M28" s="22">
        <f t="shared" si="3"/>
        <v>7283.0779287041814</v>
      </c>
      <c r="N28" s="21"/>
      <c r="O28" s="23">
        <v>148658.86200000002</v>
      </c>
      <c r="P28" s="23">
        <v>1486.058</v>
      </c>
      <c r="Q28" s="23">
        <f t="shared" si="4"/>
        <v>150144.92000000001</v>
      </c>
      <c r="R28" s="25"/>
      <c r="S28" s="24">
        <f t="shared" si="5"/>
        <v>0.9514930113605965</v>
      </c>
      <c r="T28" s="24">
        <f t="shared" si="6"/>
        <v>4.8506988639403725E-2</v>
      </c>
      <c r="V28" s="24">
        <f t="shared" si="7"/>
        <v>0.943596495610591</v>
      </c>
      <c r="W28" s="24">
        <f t="shared" si="8"/>
        <v>7.896515750005266E-3</v>
      </c>
      <c r="X28" s="24">
        <f t="shared" si="9"/>
        <v>4.6506013352083188E-2</v>
      </c>
      <c r="Y28" s="24">
        <f t="shared" si="10"/>
        <v>2.0009752873205388E-3</v>
      </c>
    </row>
    <row r="29" spans="2:25" ht="15" x14ac:dyDescent="0.25">
      <c r="B29" s="19">
        <v>44228</v>
      </c>
      <c r="C29" s="20">
        <v>121541.18059999998</v>
      </c>
      <c r="D29" s="20">
        <v>849.93549999999993</v>
      </c>
      <c r="E29" s="20">
        <f t="shared" si="1"/>
        <v>122391.11609999998</v>
      </c>
      <c r="F29" s="21"/>
      <c r="G29" s="20">
        <f t="shared" si="11"/>
        <v>4592.6935102520783</v>
      </c>
      <c r="H29" s="20">
        <f t="shared" si="11"/>
        <v>255.72467232769776</v>
      </c>
      <c r="I29" s="20">
        <f t="shared" si="2"/>
        <v>4848.4181825797759</v>
      </c>
      <c r="J29" s="21"/>
      <c r="K29" s="22">
        <v>6289.763889747921</v>
      </c>
      <c r="L29" s="22">
        <v>287.29582767230244</v>
      </c>
      <c r="M29" s="22">
        <f t="shared" si="3"/>
        <v>6577.059717420223</v>
      </c>
      <c r="N29" s="21"/>
      <c r="O29" s="23">
        <v>132423.63799999998</v>
      </c>
      <c r="P29" s="23">
        <v>1392.9560000000001</v>
      </c>
      <c r="Q29" s="23">
        <f t="shared" si="4"/>
        <v>133816.59399999998</v>
      </c>
      <c r="R29" s="25"/>
      <c r="S29" s="24">
        <f t="shared" si="5"/>
        <v>0.95085019338169507</v>
      </c>
      <c r="T29" s="24">
        <f t="shared" si="6"/>
        <v>4.9149806618304932E-2</v>
      </c>
      <c r="V29" s="24">
        <f t="shared" si="7"/>
        <v>0.94258768916396174</v>
      </c>
      <c r="W29" s="24">
        <f t="shared" si="8"/>
        <v>8.2625042177332485E-3</v>
      </c>
      <c r="X29" s="24">
        <f t="shared" si="9"/>
        <v>4.7002869388141216E-2</v>
      </c>
      <c r="Y29" s="24">
        <f t="shared" si="10"/>
        <v>2.1469372301637156E-3</v>
      </c>
    </row>
    <row r="30" spans="2:25" ht="15" x14ac:dyDescent="0.25">
      <c r="B30" s="19">
        <v>44256</v>
      </c>
      <c r="C30" s="20">
        <v>139845.57020000002</v>
      </c>
      <c r="D30" s="20">
        <v>977.94990000000041</v>
      </c>
      <c r="E30" s="20">
        <f t="shared" si="1"/>
        <v>140823.52010000002</v>
      </c>
      <c r="F30" s="21"/>
      <c r="G30" s="20">
        <f t="shared" si="11"/>
        <v>5056.7823415917155</v>
      </c>
      <c r="H30" s="20">
        <f t="shared" si="11"/>
        <v>308.69938584881601</v>
      </c>
      <c r="I30" s="20">
        <f t="shared" si="2"/>
        <v>5365.4817274405314</v>
      </c>
      <c r="J30" s="21"/>
      <c r="K30" s="22">
        <v>6941.3564584082706</v>
      </c>
      <c r="L30" s="22">
        <v>339.79071415118364</v>
      </c>
      <c r="M30" s="22">
        <f t="shared" si="3"/>
        <v>7281.1471725594538</v>
      </c>
      <c r="N30" s="21"/>
      <c r="O30" s="23">
        <v>151843.709</v>
      </c>
      <c r="P30" s="23">
        <v>1626.44</v>
      </c>
      <c r="Q30" s="23">
        <f t="shared" si="4"/>
        <v>153470.149</v>
      </c>
      <c r="R30" s="25"/>
      <c r="S30" s="24">
        <f t="shared" si="5"/>
        <v>0.95255659019032124</v>
      </c>
      <c r="T30" s="24">
        <f t="shared" si="6"/>
        <v>4.7443409809678712E-2</v>
      </c>
      <c r="V30" s="24">
        <f t="shared" si="7"/>
        <v>0.94417287977997422</v>
      </c>
      <c r="W30" s="24">
        <f t="shared" si="8"/>
        <v>8.3837104103470731E-3</v>
      </c>
      <c r="X30" s="24">
        <f t="shared" si="9"/>
        <v>4.5229358957671113E-2</v>
      </c>
      <c r="Y30" s="24">
        <f t="shared" si="10"/>
        <v>2.214050852007602E-3</v>
      </c>
    </row>
    <row r="31" spans="2:25" ht="15" x14ac:dyDescent="0.25">
      <c r="B31" s="19">
        <v>44287</v>
      </c>
      <c r="C31" s="20">
        <v>133727.97769999999</v>
      </c>
      <c r="D31" s="20">
        <v>844.8968000000001</v>
      </c>
      <c r="E31" s="20">
        <f t="shared" si="1"/>
        <v>134572.87449999998</v>
      </c>
      <c r="F31" s="21"/>
      <c r="G31" s="20">
        <f t="shared" si="11"/>
        <v>4793.3791198449107</v>
      </c>
      <c r="H31" s="20">
        <f t="shared" si="11"/>
        <v>262.06844956708062</v>
      </c>
      <c r="I31" s="20">
        <f t="shared" si="2"/>
        <v>5055.447569411991</v>
      </c>
      <c r="J31" s="21"/>
      <c r="K31" s="22">
        <v>6537.5211801551268</v>
      </c>
      <c r="L31" s="22">
        <v>285.99275043291937</v>
      </c>
      <c r="M31" s="22">
        <f t="shared" si="3"/>
        <v>6823.5139305880457</v>
      </c>
      <c r="N31" s="21"/>
      <c r="O31" s="23">
        <v>145058.87800000003</v>
      </c>
      <c r="P31" s="23">
        <v>1392.9580000000001</v>
      </c>
      <c r="Q31" s="23">
        <f t="shared" si="4"/>
        <v>146451.83600000004</v>
      </c>
      <c r="R31" s="25"/>
      <c r="S31" s="24">
        <f t="shared" si="5"/>
        <v>0.95340779523864727</v>
      </c>
      <c r="T31" s="24">
        <f t="shared" si="6"/>
        <v>4.6592204761352694E-2</v>
      </c>
      <c r="V31" s="24">
        <f t="shared" si="7"/>
        <v>0.94584923346297178</v>
      </c>
      <c r="W31" s="24">
        <f t="shared" si="8"/>
        <v>7.558561775675386E-3</v>
      </c>
      <c r="X31" s="24">
        <f t="shared" si="9"/>
        <v>4.4639393801489284E-2</v>
      </c>
      <c r="Y31" s="24">
        <f t="shared" si="10"/>
        <v>1.9528109598634139E-3</v>
      </c>
    </row>
    <row r="32" spans="2:25" ht="15" x14ac:dyDescent="0.25">
      <c r="B32" s="19">
        <v>44317</v>
      </c>
      <c r="C32" s="20">
        <v>140733.49480000001</v>
      </c>
      <c r="D32" s="20">
        <v>955.19819999999993</v>
      </c>
      <c r="E32" s="20">
        <f t="shared" si="1"/>
        <v>141688.69300000003</v>
      </c>
      <c r="F32" s="21"/>
      <c r="G32" s="20">
        <f t="shared" si="11"/>
        <v>4828.935928252321</v>
      </c>
      <c r="H32" s="20">
        <f t="shared" si="11"/>
        <v>274.88061268293012</v>
      </c>
      <c r="I32" s="20">
        <f t="shared" si="2"/>
        <v>5103.8165409352514</v>
      </c>
      <c r="J32" s="21"/>
      <c r="K32" s="22">
        <v>6828.520271747665</v>
      </c>
      <c r="L32" s="22">
        <v>322.96018731706971</v>
      </c>
      <c r="M32" s="22">
        <f t="shared" si="3"/>
        <v>7151.4804590647345</v>
      </c>
      <c r="N32" s="21"/>
      <c r="O32" s="23">
        <v>152390.951</v>
      </c>
      <c r="P32" s="23">
        <v>1553.0389999999998</v>
      </c>
      <c r="Q32" s="23">
        <f t="shared" si="4"/>
        <v>153943.99</v>
      </c>
      <c r="R32" s="25"/>
      <c r="S32" s="24">
        <f t="shared" si="5"/>
        <v>0.95354491942774311</v>
      </c>
      <c r="T32" s="24">
        <f t="shared" si="6"/>
        <v>4.6455080572257057E-2</v>
      </c>
      <c r="V32" s="24">
        <f t="shared" si="7"/>
        <v>0.94555448853997059</v>
      </c>
      <c r="W32" s="24">
        <f t="shared" si="8"/>
        <v>7.99043088777243E-3</v>
      </c>
      <c r="X32" s="24">
        <f t="shared" si="9"/>
        <v>4.4357173487238222E-2</v>
      </c>
      <c r="Y32" s="24">
        <f t="shared" si="10"/>
        <v>2.0979070850188418E-3</v>
      </c>
    </row>
    <row r="33" spans="2:25" ht="15" x14ac:dyDescent="0.25">
      <c r="B33" s="19">
        <v>44348</v>
      </c>
      <c r="C33" s="20">
        <v>121078.1004</v>
      </c>
      <c r="D33" s="20">
        <v>948.37360000000001</v>
      </c>
      <c r="E33" s="20">
        <f t="shared" si="1"/>
        <v>122026.474</v>
      </c>
      <c r="F33" s="21"/>
      <c r="G33" s="20">
        <f t="shared" si="11"/>
        <v>4382.9936892378573</v>
      </c>
      <c r="H33" s="20">
        <f t="shared" si="11"/>
        <v>283.04308980039332</v>
      </c>
      <c r="I33" s="20">
        <f t="shared" si="2"/>
        <v>4666.0367790382506</v>
      </c>
      <c r="J33" s="21"/>
      <c r="K33" s="22">
        <v>6240.707910762143</v>
      </c>
      <c r="L33" s="22">
        <v>323.10431019960686</v>
      </c>
      <c r="M33" s="22">
        <f t="shared" si="3"/>
        <v>6563.8122209617495</v>
      </c>
      <c r="N33" s="21"/>
      <c r="O33" s="23">
        <v>131701.802</v>
      </c>
      <c r="P33" s="23">
        <v>1554.5210000000002</v>
      </c>
      <c r="Q33" s="23">
        <f t="shared" si="4"/>
        <v>133256.323</v>
      </c>
      <c r="R33" s="25"/>
      <c r="S33" s="24">
        <f t="shared" si="5"/>
        <v>0.95074295858394831</v>
      </c>
      <c r="T33" s="24">
        <f t="shared" si="6"/>
        <v>4.9257041416051597E-2</v>
      </c>
      <c r="V33" s="24">
        <f t="shared" si="7"/>
        <v>0.94150199603840079</v>
      </c>
      <c r="W33" s="24">
        <f t="shared" si="8"/>
        <v>9.2409625455476003E-3</v>
      </c>
      <c r="X33" s="24">
        <f t="shared" si="9"/>
        <v>4.6832358647342705E-2</v>
      </c>
      <c r="Y33" s="24">
        <f t="shared" si="10"/>
        <v>2.4246827687088952E-3</v>
      </c>
    </row>
    <row r="34" spans="2:25" ht="15" x14ac:dyDescent="0.25">
      <c r="B34" s="19">
        <v>44378</v>
      </c>
      <c r="C34" s="20">
        <v>139929.78140000004</v>
      </c>
      <c r="D34" s="20">
        <v>968.38540000000012</v>
      </c>
      <c r="E34" s="20">
        <f t="shared" si="1"/>
        <v>140898.16680000004</v>
      </c>
      <c r="F34" s="21"/>
      <c r="G34" s="20">
        <f t="shared" si="11"/>
        <v>5005.9059122679901</v>
      </c>
      <c r="H34" s="20">
        <f t="shared" si="11"/>
        <v>303.02505710023604</v>
      </c>
      <c r="I34" s="20">
        <f t="shared" si="2"/>
        <v>5308.9309693682262</v>
      </c>
      <c r="J34" s="21"/>
      <c r="K34" s="22">
        <v>6769.8176877319784</v>
      </c>
      <c r="L34" s="22">
        <v>354.57654289976347</v>
      </c>
      <c r="M34" s="22">
        <f t="shared" si="3"/>
        <v>7124.3942306317422</v>
      </c>
      <c r="N34" s="21"/>
      <c r="O34" s="23">
        <v>151705.505</v>
      </c>
      <c r="P34" s="23">
        <v>1625.9869999999996</v>
      </c>
      <c r="Q34" s="23">
        <f t="shared" si="4"/>
        <v>153331.492</v>
      </c>
      <c r="R34" s="25"/>
      <c r="S34" s="24">
        <f t="shared" si="5"/>
        <v>0.9535360013934272</v>
      </c>
      <c r="T34" s="24">
        <f t="shared" si="6"/>
        <v>4.6463998606572889E-2</v>
      </c>
      <c r="V34" s="24">
        <f t="shared" si="7"/>
        <v>0.94524409448952607</v>
      </c>
      <c r="W34" s="24">
        <f t="shared" si="8"/>
        <v>8.2919069039009696E-3</v>
      </c>
      <c r="X34" s="24">
        <f t="shared" si="9"/>
        <v>4.4151515122098847E-2</v>
      </c>
      <c r="Y34" s="24">
        <f t="shared" si="10"/>
        <v>2.3124834844740405E-3</v>
      </c>
    </row>
    <row r="35" spans="2:25" ht="15" x14ac:dyDescent="0.25">
      <c r="B35" s="19">
        <v>44409</v>
      </c>
      <c r="C35" s="20">
        <v>142073.76449999999</v>
      </c>
      <c r="D35" s="20">
        <v>979.47970000000021</v>
      </c>
      <c r="E35" s="20">
        <f t="shared" si="1"/>
        <v>143053.24419999999</v>
      </c>
      <c r="F35" s="21"/>
      <c r="G35" s="20">
        <f t="shared" si="11"/>
        <v>5281.6307581381907</v>
      </c>
      <c r="H35" s="20">
        <f t="shared" si="11"/>
        <v>301.75567144046209</v>
      </c>
      <c r="I35" s="20">
        <f t="shared" si="2"/>
        <v>5583.3864295786525</v>
      </c>
      <c r="J35" s="21"/>
      <c r="K35" s="22">
        <v>6886.3397418618051</v>
      </c>
      <c r="L35" s="22">
        <v>364.91162855953763</v>
      </c>
      <c r="M35" s="22">
        <f t="shared" si="3"/>
        <v>7251.2513704213425</v>
      </c>
      <c r="N35" s="21"/>
      <c r="O35" s="23">
        <v>154241.73499999999</v>
      </c>
      <c r="P35" s="23">
        <v>1646.1469999999999</v>
      </c>
      <c r="Q35" s="23">
        <f t="shared" si="4"/>
        <v>155887.88199999998</v>
      </c>
      <c r="R35" s="25"/>
      <c r="S35" s="24">
        <f t="shared" si="5"/>
        <v>0.95348418826794146</v>
      </c>
      <c r="T35" s="24">
        <f t="shared" si="6"/>
        <v>4.6515811732058453E-2</v>
      </c>
      <c r="V35" s="24">
        <f t="shared" si="7"/>
        <v>0.94526523401054485</v>
      </c>
      <c r="W35" s="24">
        <f t="shared" si="8"/>
        <v>8.218954257396752E-3</v>
      </c>
      <c r="X35" s="24">
        <f t="shared" si="9"/>
        <v>4.4174952238184913E-2</v>
      </c>
      <c r="Y35" s="24">
        <f t="shared" si="10"/>
        <v>2.3408594938735369E-3</v>
      </c>
    </row>
    <row r="36" spans="2:25" ht="15" x14ac:dyDescent="0.25">
      <c r="B36" s="19">
        <v>44440</v>
      </c>
      <c r="C36" s="20">
        <v>137045.2004</v>
      </c>
      <c r="D36" s="20">
        <v>928.75540000000001</v>
      </c>
      <c r="E36" s="20">
        <f t="shared" si="1"/>
        <v>137973.9558</v>
      </c>
      <c r="F36" s="21"/>
      <c r="G36" s="20">
        <f>4355.1715+937.7245</f>
        <v>5292.8960000000006</v>
      </c>
      <c r="H36" s="20">
        <f>186.2257+89.8605</f>
        <v>276.08619999999996</v>
      </c>
      <c r="I36" s="20">
        <f t="shared" si="2"/>
        <v>5568.9822000000004</v>
      </c>
      <c r="J36" s="21"/>
      <c r="K36" s="22">
        <v>6646.6646000000001</v>
      </c>
      <c r="L36" s="22">
        <v>324.28120000000001</v>
      </c>
      <c r="M36" s="22">
        <f t="shared" si="3"/>
        <v>6970.9458000000004</v>
      </c>
      <c r="N36" s="21"/>
      <c r="O36" s="23">
        <v>148979.378</v>
      </c>
      <c r="P36" s="23">
        <v>1541.9939999999999</v>
      </c>
      <c r="Q36" s="23">
        <f t="shared" si="4"/>
        <v>150521.372</v>
      </c>
      <c r="R36" s="25"/>
      <c r="S36" s="24">
        <f t="shared" si="5"/>
        <v>0.9536382514504318</v>
      </c>
      <c r="T36" s="24">
        <f t="shared" si="6"/>
        <v>4.631200013244631E-2</v>
      </c>
      <c r="V36" s="24">
        <f t="shared" si="7"/>
        <v>0.945633796109698</v>
      </c>
      <c r="W36" s="24">
        <f t="shared" si="8"/>
        <v>8.0044553407339382E-3</v>
      </c>
      <c r="X36" s="24">
        <f t="shared" si="9"/>
        <v>4.4157613710829054E-2</v>
      </c>
      <c r="Y36" s="24">
        <f t="shared" si="10"/>
        <v>2.1543864216172571E-3</v>
      </c>
    </row>
    <row r="37" spans="2:25" ht="15" x14ac:dyDescent="0.25">
      <c r="B37" s="19">
        <v>44470</v>
      </c>
      <c r="C37" s="20">
        <v>141694.61170000001</v>
      </c>
      <c r="D37" s="20">
        <v>858.28740000000005</v>
      </c>
      <c r="E37" s="20">
        <f t="shared" si="1"/>
        <v>142552.89910000001</v>
      </c>
      <c r="F37" s="21"/>
      <c r="G37" s="20">
        <f>4734.6159+918.8488</f>
        <v>5653.4646999999995</v>
      </c>
      <c r="H37" s="20">
        <f>195.6931+80.9342</f>
        <v>276.62729999999999</v>
      </c>
      <c r="I37" s="20">
        <f t="shared" si="2"/>
        <v>5930.0919999999996</v>
      </c>
      <c r="J37" s="21"/>
      <c r="K37" s="22">
        <v>6816.5335999999998</v>
      </c>
      <c r="L37" s="22">
        <v>328.38729999999998</v>
      </c>
      <c r="M37" s="22">
        <f t="shared" si="3"/>
        <v>7144.9209000000001</v>
      </c>
      <c r="N37" s="21"/>
      <c r="O37" s="23">
        <v>154159.16699999999</v>
      </c>
      <c r="P37" s="23">
        <v>1463.1379999999999</v>
      </c>
      <c r="Q37" s="23">
        <f t="shared" si="4"/>
        <v>155622.30499999999</v>
      </c>
      <c r="R37" s="25"/>
      <c r="S37" s="24">
        <f t="shared" si="5"/>
        <v>0.95412409615703875</v>
      </c>
      <c r="T37" s="24">
        <f t="shared" si="6"/>
        <v>4.5911933382557217E-2</v>
      </c>
      <c r="V37" s="24">
        <f t="shared" si="7"/>
        <v>0.94683134528819646</v>
      </c>
      <c r="W37" s="24">
        <f t="shared" si="8"/>
        <v>7.2927508688423555E-3</v>
      </c>
      <c r="X37" s="24">
        <f t="shared" si="9"/>
        <v>4.380177764363534E-2</v>
      </c>
      <c r="Y37" s="24">
        <f t="shared" si="10"/>
        <v>2.1101557389218723E-3</v>
      </c>
    </row>
    <row r="38" spans="2:25" ht="15" x14ac:dyDescent="0.25">
      <c r="B38" s="19">
        <v>44501</v>
      </c>
      <c r="C38" s="20">
        <f>'[21]Consumo Diário'!$C$42</f>
        <v>136942.60150000002</v>
      </c>
      <c r="D38" s="20">
        <f>'[21]Consumo Diário'!$D$42</f>
        <v>864.08480000000009</v>
      </c>
      <c r="E38" s="20">
        <f t="shared" si="1"/>
        <v>137806.68630000003</v>
      </c>
      <c r="F38" s="21"/>
      <c r="G38" s="20">
        <f t="shared" ref="G38:H53" si="12">O38-C38-K38</f>
        <v>5158.9242357388512</v>
      </c>
      <c r="H38" s="20">
        <f t="shared" si="12"/>
        <v>276.65421592634374</v>
      </c>
      <c r="I38" s="20">
        <f t="shared" si="2"/>
        <v>5435.5784516651947</v>
      </c>
      <c r="J38" s="21"/>
      <c r="K38" s="22">
        <f>'[21]Consumo Diário'!$EI$42</f>
        <v>6599.6262642611318</v>
      </c>
      <c r="L38" s="22">
        <f>'[21]Consumo Diário'!$EJ$42</f>
        <v>292.5249840736563</v>
      </c>
      <c r="M38" s="22">
        <f t="shared" si="3"/>
        <v>6892.1512483347879</v>
      </c>
      <c r="N38" s="21"/>
      <c r="O38" s="23">
        <f>'[21]Consumo Diário'!$ED$42</f>
        <v>148701.152</v>
      </c>
      <c r="P38" s="23">
        <f>'[21]Consumo Diário'!$EE$42</f>
        <v>1433.2640000000001</v>
      </c>
      <c r="Q38" s="23">
        <f t="shared" si="4"/>
        <v>150134.416</v>
      </c>
      <c r="R38" s="25"/>
      <c r="S38" s="24">
        <f t="shared" si="5"/>
        <v>0.95409346216569846</v>
      </c>
      <c r="T38" s="24">
        <f t="shared" si="6"/>
        <v>4.5906537834301681E-2</v>
      </c>
      <c r="V38" s="24">
        <f t="shared" si="7"/>
        <v>0.94649534411709346</v>
      </c>
      <c r="W38" s="24">
        <f t="shared" si="8"/>
        <v>7.5981180486048173E-3</v>
      </c>
      <c r="X38" s="24">
        <f t="shared" si="9"/>
        <v>4.3958117266470947E-2</v>
      </c>
      <c r="Y38" s="24">
        <f t="shared" si="10"/>
        <v>1.9484205678307383E-3</v>
      </c>
    </row>
    <row r="39" spans="2:25" ht="15" x14ac:dyDescent="0.25">
      <c r="B39" s="19">
        <v>44531</v>
      </c>
      <c r="C39" s="20">
        <f>'[22]Consumo Diário'!$C$42</f>
        <v>140433.2182</v>
      </c>
      <c r="D39" s="20">
        <f>'[22]Consumo Diário'!$D$42</f>
        <v>1027.0577000000001</v>
      </c>
      <c r="E39" s="20">
        <f t="shared" si="1"/>
        <v>141460.27590000001</v>
      </c>
      <c r="F39" s="21"/>
      <c r="G39" s="20">
        <f t="shared" si="12"/>
        <v>5268.3539577912397</v>
      </c>
      <c r="H39" s="20">
        <f t="shared" si="12"/>
        <v>294.22208777562452</v>
      </c>
      <c r="I39" s="20">
        <f t="shared" si="2"/>
        <v>5562.5760455668642</v>
      </c>
      <c r="J39" s="21"/>
      <c r="K39" s="22">
        <f>'[22]Consumo Diário'!$EI$42</f>
        <v>7027.6148422087626</v>
      </c>
      <c r="L39" s="22">
        <f>'[22]Consumo Diário'!$EJ$42</f>
        <v>352.98321222437534</v>
      </c>
      <c r="M39" s="22">
        <f t="shared" si="3"/>
        <v>7380.5980544331378</v>
      </c>
      <c r="N39" s="21"/>
      <c r="O39" s="23">
        <f>'[22]Consumo Diário'!$ED$42</f>
        <v>152729.18700000001</v>
      </c>
      <c r="P39" s="23">
        <f>'[22]Consumo Diário'!$EE$42</f>
        <v>1674.2629999999999</v>
      </c>
      <c r="Q39" s="23">
        <f t="shared" si="4"/>
        <v>154403.45000000001</v>
      </c>
      <c r="R39" s="25"/>
      <c r="S39" s="24">
        <f t="shared" si="5"/>
        <v>0.95219926721564108</v>
      </c>
      <c r="T39" s="24">
        <f t="shared" si="6"/>
        <v>4.7800732784359014E-2</v>
      </c>
      <c r="V39" s="24">
        <f t="shared" si="7"/>
        <v>0.94364194684633806</v>
      </c>
      <c r="W39" s="24">
        <f t="shared" si="8"/>
        <v>8.5573203693027865E-3</v>
      </c>
      <c r="X39" s="24">
        <f t="shared" si="9"/>
        <v>4.5514623165536533E-2</v>
      </c>
      <c r="Y39" s="24">
        <f t="shared" si="10"/>
        <v>2.2861096188224765E-3</v>
      </c>
    </row>
    <row r="40" spans="2:25" ht="15" x14ac:dyDescent="0.25">
      <c r="B40" s="19">
        <v>44562</v>
      </c>
      <c r="C40" s="20">
        <f>'[23]Consumo Diário'!$C$42</f>
        <v>137269.27850000001</v>
      </c>
      <c r="D40" s="20">
        <f>'[23]Consumo Diário'!$D$42</f>
        <v>933.58320000000003</v>
      </c>
      <c r="E40" s="20">
        <f t="shared" si="1"/>
        <v>138202.86170000001</v>
      </c>
      <c r="F40" s="21"/>
      <c r="G40" s="20">
        <f t="shared" si="12"/>
        <v>5242.8355270127759</v>
      </c>
      <c r="H40" s="20">
        <f t="shared" si="12"/>
        <v>287.5523204852783</v>
      </c>
      <c r="I40" s="20">
        <f t="shared" si="2"/>
        <v>5530.3878474980538</v>
      </c>
      <c r="J40" s="21"/>
      <c r="K40" s="22">
        <f>'[23]Consumo Diário'!$EI$42</f>
        <v>7160.4829729872181</v>
      </c>
      <c r="L40" s="22">
        <f>'[23]Consumo Diário'!$EJ$42</f>
        <v>344.0924795147215</v>
      </c>
      <c r="M40" s="22">
        <f t="shared" si="3"/>
        <v>7504.5754525019393</v>
      </c>
      <c r="N40" s="21"/>
      <c r="O40" s="23">
        <f>'[23]Consumo Diário'!$ED$42</f>
        <v>149672.59700000001</v>
      </c>
      <c r="P40" s="23">
        <f>'[23]Consumo Diário'!$EE$42</f>
        <v>1565.2279999999998</v>
      </c>
      <c r="Q40" s="23">
        <f t="shared" si="4"/>
        <v>151237.82500000001</v>
      </c>
      <c r="R40" s="25"/>
      <c r="S40" s="24">
        <f t="shared" si="5"/>
        <v>0.95037897792763193</v>
      </c>
      <c r="T40" s="24">
        <f t="shared" si="6"/>
        <v>4.9621022072368064E-2</v>
      </c>
      <c r="V40" s="24">
        <f t="shared" si="7"/>
        <v>0.94230470470606653</v>
      </c>
      <c r="W40" s="24">
        <f t="shared" si="8"/>
        <v>8.0742732215652955E-3</v>
      </c>
      <c r="X40" s="24">
        <f t="shared" si="9"/>
        <v>4.734584733010553E-2</v>
      </c>
      <c r="Y40" s="24">
        <f t="shared" si="10"/>
        <v>2.2751747422625358E-3</v>
      </c>
    </row>
    <row r="41" spans="2:25" ht="15" x14ac:dyDescent="0.25">
      <c r="B41" s="19">
        <v>44593</v>
      </c>
      <c r="C41" s="20">
        <f>'[24]Consumo Diário'!$C$42</f>
        <v>127696.4636</v>
      </c>
      <c r="D41" s="20">
        <f>'[24]Consumo Diário'!$D$42</f>
        <v>847.31359999999984</v>
      </c>
      <c r="E41" s="20">
        <f t="shared" si="1"/>
        <v>128543.7772</v>
      </c>
      <c r="F41" s="21"/>
      <c r="G41" s="20">
        <f t="shared" si="12"/>
        <v>4730.5632921841152</v>
      </c>
      <c r="H41" s="20">
        <f t="shared" si="12"/>
        <v>280.64253071778586</v>
      </c>
      <c r="I41" s="20">
        <f t="shared" si="2"/>
        <v>5011.2058229019012</v>
      </c>
      <c r="J41" s="21"/>
      <c r="K41" s="22">
        <f>'[24]Consumo Diário'!$EI$42</f>
        <v>6280.5941078158958</v>
      </c>
      <c r="L41" s="22">
        <f>'[24]Consumo Diário'!$EJ$42</f>
        <v>365.58286928221429</v>
      </c>
      <c r="M41" s="22">
        <f t="shared" si="3"/>
        <v>6646.17697709811</v>
      </c>
      <c r="N41" s="21"/>
      <c r="O41" s="23">
        <f>'[24]Consumo Diário'!$ED$42</f>
        <v>138707.62100000001</v>
      </c>
      <c r="P41" s="23">
        <f>'[24]Consumo Diário'!$EE$42</f>
        <v>1493.539</v>
      </c>
      <c r="Q41" s="23">
        <f t="shared" si="4"/>
        <v>140201.16</v>
      </c>
      <c r="R41" s="25"/>
      <c r="S41" s="24">
        <f t="shared" si="5"/>
        <v>0.95259542091450522</v>
      </c>
      <c r="T41" s="24">
        <f t="shared" si="6"/>
        <v>4.7404579085494801E-2</v>
      </c>
      <c r="V41" s="24">
        <f t="shared" si="7"/>
        <v>0.944550151312472</v>
      </c>
      <c r="W41" s="24">
        <f t="shared" si="8"/>
        <v>8.045269602033148E-3</v>
      </c>
      <c r="X41" s="24">
        <f t="shared" si="9"/>
        <v>4.4797019566855903E-2</v>
      </c>
      <c r="Y41" s="24">
        <f t="shared" si="10"/>
        <v>2.607559518638892E-3</v>
      </c>
    </row>
    <row r="42" spans="2:25" ht="15" x14ac:dyDescent="0.25">
      <c r="B42" s="19">
        <v>44621</v>
      </c>
      <c r="C42" s="20">
        <f>'[25]Consumo Diário'!$C$42</f>
        <v>138476.42520000003</v>
      </c>
      <c r="D42" s="20">
        <f>'[25]Consumo Diário'!$D$42</f>
        <v>984.51330000000007</v>
      </c>
      <c r="E42" s="20">
        <f t="shared" si="1"/>
        <v>139460.93850000002</v>
      </c>
      <c r="F42" s="21"/>
      <c r="G42" s="20">
        <f t="shared" si="12"/>
        <v>5280.3863611611259</v>
      </c>
      <c r="H42" s="20">
        <f t="shared" si="12"/>
        <v>312.76598564745183</v>
      </c>
      <c r="I42" s="20">
        <f t="shared" si="2"/>
        <v>5593.1523468085779</v>
      </c>
      <c r="J42" s="21"/>
      <c r="K42" s="22">
        <f>'[25]Consumo Diário'!$EI$42</f>
        <v>7054.6794388388853</v>
      </c>
      <c r="L42" s="22">
        <f>'[25]Consumo Diário'!$EJ$42</f>
        <v>379.72671435254819</v>
      </c>
      <c r="M42" s="22">
        <f t="shared" si="3"/>
        <v>7434.4061531914331</v>
      </c>
      <c r="N42" s="21"/>
      <c r="O42" s="23">
        <f>'[25]Consumo Diário'!$ED$42</f>
        <v>150811.49100000004</v>
      </c>
      <c r="P42" s="23">
        <f>'[25]Consumo Diário'!$EE$42</f>
        <v>1677.0060000000001</v>
      </c>
      <c r="Q42" s="23">
        <f t="shared" si="4"/>
        <v>152488.49700000003</v>
      </c>
      <c r="R42" s="25"/>
      <c r="S42" s="24">
        <f t="shared" si="5"/>
        <v>0.95124611823545335</v>
      </c>
      <c r="T42" s="24">
        <f t="shared" si="6"/>
        <v>4.8753881764546682E-2</v>
      </c>
      <c r="V42" s="24">
        <f t="shared" si="7"/>
        <v>0.9427387271130433</v>
      </c>
      <c r="W42" s="24">
        <f t="shared" si="8"/>
        <v>8.5073911224100504E-3</v>
      </c>
      <c r="X42" s="24">
        <f t="shared" si="9"/>
        <v>4.6263682688399005E-2</v>
      </c>
      <c r="Y42" s="24">
        <f t="shared" si="10"/>
        <v>2.4901990761476791E-3</v>
      </c>
    </row>
    <row r="43" spans="2:25" ht="15" x14ac:dyDescent="0.25">
      <c r="B43" s="19">
        <v>44652</v>
      </c>
      <c r="C43" s="20">
        <f>'[26]Consumo Diário'!$C$42</f>
        <v>133770.37120000002</v>
      </c>
      <c r="D43" s="20">
        <f>'[26]Consumo Diário'!$D$42</f>
        <v>805.93259999999998</v>
      </c>
      <c r="E43" s="20">
        <f t="shared" si="1"/>
        <v>134576.30380000002</v>
      </c>
      <c r="F43" s="21"/>
      <c r="G43" s="20">
        <f t="shared" si="12"/>
        <v>5039.085984888201</v>
      </c>
      <c r="H43" s="20">
        <f t="shared" si="12"/>
        <v>258.10845976442033</v>
      </c>
      <c r="I43" s="20">
        <f t="shared" si="2"/>
        <v>5297.1944446526213</v>
      </c>
      <c r="J43" s="21"/>
      <c r="K43" s="22">
        <f>'[26]Consumo Diário'!$EI$42</f>
        <v>7048.220815111732</v>
      </c>
      <c r="L43" s="22">
        <f>'[26]Consumo Diário'!$EJ$42</f>
        <v>348.32894023558026</v>
      </c>
      <c r="M43" s="22">
        <f t="shared" si="3"/>
        <v>7396.5497553473124</v>
      </c>
      <c r="N43" s="21"/>
      <c r="O43" s="23">
        <f>'[26]Consumo Diário'!$ED$42</f>
        <v>145857.67799999996</v>
      </c>
      <c r="P43" s="23">
        <f>'[26]Consumo Diário'!$EE$42</f>
        <v>1412.3700000000006</v>
      </c>
      <c r="Q43" s="23">
        <f t="shared" si="4"/>
        <v>147270.04799999995</v>
      </c>
      <c r="R43" s="25"/>
      <c r="S43" s="24">
        <f t="shared" si="5"/>
        <v>0.94977560029485897</v>
      </c>
      <c r="T43" s="24">
        <f t="shared" si="6"/>
        <v>5.0224399705141094E-2</v>
      </c>
      <c r="V43" s="24">
        <f t="shared" si="7"/>
        <v>0.94255049869263485</v>
      </c>
      <c r="W43" s="24">
        <f t="shared" si="8"/>
        <v>7.2251016022241042E-3</v>
      </c>
      <c r="X43" s="24">
        <f t="shared" si="9"/>
        <v>4.7859160167529342E-2</v>
      </c>
      <c r="Y43" s="24">
        <f t="shared" si="10"/>
        <v>2.365239537611751E-3</v>
      </c>
    </row>
    <row r="44" spans="2:25" ht="15" x14ac:dyDescent="0.25">
      <c r="B44" s="19">
        <v>44682</v>
      </c>
      <c r="C44" s="20">
        <f>'[27]Consumo Diário'!$C$42</f>
        <v>131161.69519999999</v>
      </c>
      <c r="D44" s="20">
        <f>'[27]Consumo Diário'!$D$42</f>
        <v>883.34229999999991</v>
      </c>
      <c r="E44" s="20">
        <f t="shared" si="1"/>
        <v>132045.03749999998</v>
      </c>
      <c r="F44" s="21"/>
      <c r="G44" s="20">
        <f t="shared" si="12"/>
        <v>4945.803006427227</v>
      </c>
      <c r="H44" s="20">
        <f t="shared" si="12"/>
        <v>257.09754417024897</v>
      </c>
      <c r="I44" s="20">
        <f t="shared" si="2"/>
        <v>5202.9005505974765</v>
      </c>
      <c r="J44" s="21"/>
      <c r="K44" s="22">
        <f>'[27]Consumo Diário'!$EI$42</f>
        <v>6795.3187935727956</v>
      </c>
      <c r="L44" s="22">
        <f>'[27]Consumo Diário'!$EJ$42</f>
        <v>342.34815582975114</v>
      </c>
      <c r="M44" s="22">
        <f t="shared" si="3"/>
        <v>7137.6669494025464</v>
      </c>
      <c r="N44" s="21"/>
      <c r="O44" s="23">
        <f>'[27]Consumo Diário'!$ED$42</f>
        <v>142902.81700000001</v>
      </c>
      <c r="P44" s="23">
        <f>'[27]Consumo Diário'!$EE$42</f>
        <v>1482.788</v>
      </c>
      <c r="Q44" s="23">
        <f t="shared" si="4"/>
        <v>144385.60500000001</v>
      </c>
      <c r="R44" s="25"/>
      <c r="S44" s="24">
        <f t="shared" si="5"/>
        <v>0.95056524541070031</v>
      </c>
      <c r="T44" s="24">
        <f t="shared" si="6"/>
        <v>4.9434754589299579E-2</v>
      </c>
      <c r="V44" s="24">
        <f t="shared" si="7"/>
        <v>0.94266667516077651</v>
      </c>
      <c r="W44" s="24">
        <f t="shared" si="8"/>
        <v>7.8985702499237975E-3</v>
      </c>
      <c r="X44" s="24">
        <f t="shared" si="9"/>
        <v>4.7063686117274607E-2</v>
      </c>
      <c r="Y44" s="24">
        <f t="shared" si="10"/>
        <v>2.3710684720249717E-3</v>
      </c>
    </row>
    <row r="45" spans="2:25" ht="15" x14ac:dyDescent="0.25">
      <c r="B45" s="19">
        <v>44713</v>
      </c>
      <c r="C45" s="20">
        <f>'[28]Consumo Diário'!$C$42</f>
        <v>133737.76</v>
      </c>
      <c r="D45" s="20">
        <f>'[28]Consumo Diário'!$D$42</f>
        <v>929.9088999999999</v>
      </c>
      <c r="E45" s="20">
        <f t="shared" si="1"/>
        <v>134667.66890000002</v>
      </c>
      <c r="F45" s="21"/>
      <c r="G45" s="20">
        <f t="shared" si="12"/>
        <v>5665.2149005851152</v>
      </c>
      <c r="H45" s="20">
        <f t="shared" si="12"/>
        <v>281.00692747676942</v>
      </c>
      <c r="I45" s="20">
        <f t="shared" si="2"/>
        <v>5946.2218280618845</v>
      </c>
      <c r="J45" s="21"/>
      <c r="K45" s="22">
        <f>'[28]Consumo Diário'!$EI$42</f>
        <v>6799.4280994148958</v>
      </c>
      <c r="L45" s="22">
        <f>'[28]Consumo Diário'!$EJ$42</f>
        <v>351.04817252323062</v>
      </c>
      <c r="M45" s="22">
        <f t="shared" si="3"/>
        <v>7150.476271938126</v>
      </c>
      <c r="N45" s="21"/>
      <c r="O45" s="23">
        <f>'[28]Consumo Diário'!$ED$42</f>
        <v>146202.40300000002</v>
      </c>
      <c r="P45" s="23">
        <f>'[28]Consumo Diário'!$EE$42</f>
        <v>1561.9639999999999</v>
      </c>
      <c r="Q45" s="23">
        <f t="shared" si="4"/>
        <v>147764.36700000003</v>
      </c>
      <c r="R45" s="25"/>
      <c r="S45" s="24">
        <f t="shared" si="5"/>
        <v>0.95160892698888544</v>
      </c>
      <c r="T45" s="24">
        <f t="shared" si="6"/>
        <v>4.8391073011114547E-2</v>
      </c>
      <c r="V45" s="24">
        <f t="shared" si="7"/>
        <v>0.94341401605019637</v>
      </c>
      <c r="W45" s="24">
        <f t="shared" si="8"/>
        <v>8.194910938689088E-3</v>
      </c>
      <c r="X45" s="24">
        <f t="shared" si="9"/>
        <v>4.6015343465146061E-2</v>
      </c>
      <c r="Y45" s="24">
        <f t="shared" si="10"/>
        <v>2.3757295459684849E-3</v>
      </c>
    </row>
    <row r="46" spans="2:25" ht="15" x14ac:dyDescent="0.25">
      <c r="B46" s="19">
        <v>44743</v>
      </c>
      <c r="C46" s="20">
        <f>'[29]Consumo Diário'!$C$42</f>
        <v>140204.50979999997</v>
      </c>
      <c r="D46" s="20">
        <f>'[29]Consumo Diário'!$D$42</f>
        <v>875.69430000000011</v>
      </c>
      <c r="E46" s="20">
        <f t="shared" si="1"/>
        <v>141080.20409999997</v>
      </c>
      <c r="F46" s="21"/>
      <c r="G46" s="20">
        <f t="shared" si="12"/>
        <v>5963.5487457287772</v>
      </c>
      <c r="H46" s="20">
        <f t="shared" si="12"/>
        <v>314.19099765760035</v>
      </c>
      <c r="I46" s="20">
        <f t="shared" si="2"/>
        <v>6277.739743386378</v>
      </c>
      <c r="J46" s="21"/>
      <c r="K46" s="22">
        <f>'[29]Consumo Diário'!$EI$42</f>
        <v>6877.8074542712902</v>
      </c>
      <c r="L46" s="22">
        <f>'[29]Consumo Diário'!$EJ$42</f>
        <v>340.4347023423997</v>
      </c>
      <c r="M46" s="22">
        <f t="shared" si="3"/>
        <v>7218.24215661369</v>
      </c>
      <c r="N46" s="21"/>
      <c r="O46" s="23">
        <f>'[29]Consumo Diário'!$ED$42</f>
        <v>153045.86600000004</v>
      </c>
      <c r="P46" s="23">
        <f>'[29]Consumo Diário'!$EE$42</f>
        <v>1530.3200000000002</v>
      </c>
      <c r="Q46" s="23">
        <f t="shared" si="4"/>
        <v>154576.18600000005</v>
      </c>
      <c r="R46" s="25"/>
      <c r="S46" s="24">
        <f t="shared" si="5"/>
        <v>0.95330301294525599</v>
      </c>
      <c r="T46" s="24">
        <f t="shared" si="6"/>
        <v>4.669698705474392E-2</v>
      </c>
      <c r="V46" s="24">
        <f t="shared" si="7"/>
        <v>0.94560528583444736</v>
      </c>
      <c r="W46" s="24">
        <f t="shared" si="8"/>
        <v>7.6977271108086475E-3</v>
      </c>
      <c r="X46" s="24">
        <f t="shared" si="9"/>
        <v>4.4494612218413047E-2</v>
      </c>
      <c r="Y46" s="24">
        <f t="shared" si="10"/>
        <v>2.2023748363308665E-3</v>
      </c>
    </row>
    <row r="47" spans="2:25" ht="15" x14ac:dyDescent="0.25">
      <c r="B47" s="19">
        <v>44774</v>
      </c>
      <c r="C47" s="20">
        <f>'[30]Consumo Diário'!$C$42</f>
        <v>128876.89810000002</v>
      </c>
      <c r="D47" s="20">
        <f>'[30]Consumo Diário'!$D$42</f>
        <v>1004.6584</v>
      </c>
      <c r="E47" s="20">
        <f t="shared" si="1"/>
        <v>129881.55650000002</v>
      </c>
      <c r="F47" s="21"/>
      <c r="G47" s="20">
        <f t="shared" si="12"/>
        <v>6123.2935916206261</v>
      </c>
      <c r="H47" s="20">
        <f t="shared" si="12"/>
        <v>337.24138964242678</v>
      </c>
      <c r="I47" s="20">
        <f t="shared" si="2"/>
        <v>6460.5349812630529</v>
      </c>
      <c r="J47" s="21"/>
      <c r="K47" s="22">
        <f>'[30]Consumo Diário'!$EI$42</f>
        <v>6479.9283083792907</v>
      </c>
      <c r="L47" s="22">
        <f>'[30]Consumo Diário'!$EJ$42</f>
        <v>364.24621035757315</v>
      </c>
      <c r="M47" s="22">
        <f t="shared" si="3"/>
        <v>6844.1745187368642</v>
      </c>
      <c r="N47" s="21"/>
      <c r="O47" s="23">
        <f>'[30]Consumo Diário'!$ED$42</f>
        <v>141480.11999999994</v>
      </c>
      <c r="P47" s="23">
        <f>'[30]Consumo Diário'!$EE$42</f>
        <v>1706.146</v>
      </c>
      <c r="Q47" s="23">
        <f t="shared" si="4"/>
        <v>143186.26599999995</v>
      </c>
      <c r="R47" s="25"/>
      <c r="S47" s="24">
        <f t="shared" si="5"/>
        <v>0.95220090089689979</v>
      </c>
      <c r="T47" s="24">
        <f t="shared" si="6"/>
        <v>4.77990991031002E-2</v>
      </c>
      <c r="V47" s="24">
        <f t="shared" si="7"/>
        <v>0.94282919348997274</v>
      </c>
      <c r="W47" s="24">
        <f t="shared" si="8"/>
        <v>9.3717074069270545E-3</v>
      </c>
      <c r="X47" s="24">
        <f t="shared" si="9"/>
        <v>4.5255236339351801E-2</v>
      </c>
      <c r="Y47" s="24">
        <f t="shared" si="10"/>
        <v>2.5438627637483979E-3</v>
      </c>
    </row>
    <row r="48" spans="2:25" ht="15" x14ac:dyDescent="0.25">
      <c r="B48" s="19">
        <v>44805</v>
      </c>
      <c r="C48" s="20">
        <f>'[31]Consumo Diário'!$C$42</f>
        <v>129832.6805</v>
      </c>
      <c r="D48" s="20">
        <f>'[31]Consumo Diário'!$D$42</f>
        <v>987.64759999999978</v>
      </c>
      <c r="E48" s="20">
        <f t="shared" si="1"/>
        <v>130820.3281</v>
      </c>
      <c r="F48" s="21"/>
      <c r="G48" s="20">
        <f t="shared" si="12"/>
        <v>5452.6680944633108</v>
      </c>
      <c r="H48" s="20">
        <f t="shared" si="12"/>
        <v>261.2937325104669</v>
      </c>
      <c r="I48" s="20">
        <f t="shared" si="2"/>
        <v>5713.9618269737775</v>
      </c>
      <c r="J48" s="21"/>
      <c r="K48" s="22">
        <f>'[31]Consumo Diário'!$EI$42</f>
        <v>6162.3594055367003</v>
      </c>
      <c r="L48" s="22">
        <f>'[31]Consumo Diário'!$EJ$42</f>
        <v>368.48866748953338</v>
      </c>
      <c r="M48" s="22">
        <f t="shared" si="3"/>
        <v>6530.8480730262336</v>
      </c>
      <c r="N48" s="21"/>
      <c r="O48" s="23">
        <f>'[31]Consumo Diário'!$ED$42</f>
        <v>141447.70800000001</v>
      </c>
      <c r="P48" s="23">
        <f>'[31]Consumo Diário'!$EE$42</f>
        <v>1617.43</v>
      </c>
      <c r="Q48" s="23">
        <f t="shared" si="4"/>
        <v>143065.13800000001</v>
      </c>
      <c r="R48" s="25"/>
      <c r="S48" s="24">
        <f t="shared" si="5"/>
        <v>0.95435052756859451</v>
      </c>
      <c r="T48" s="24">
        <f t="shared" si="6"/>
        <v>4.5649472431405567E-2</v>
      </c>
      <c r="V48" s="24">
        <f t="shared" si="7"/>
        <v>0.94562064864791384</v>
      </c>
      <c r="W48" s="24">
        <f t="shared" si="8"/>
        <v>8.7298789206806393E-3</v>
      </c>
      <c r="X48" s="24">
        <f t="shared" si="9"/>
        <v>4.3073801847775803E-2</v>
      </c>
      <c r="Y48" s="24">
        <f t="shared" si="10"/>
        <v>2.5756705836297686E-3</v>
      </c>
    </row>
    <row r="49" spans="2:25" ht="15" x14ac:dyDescent="0.25">
      <c r="B49" s="19">
        <v>44835</v>
      </c>
      <c r="C49" s="20">
        <f>'[32]Consumo Diário'!$C$42</f>
        <v>140033.51379999999</v>
      </c>
      <c r="D49" s="20">
        <f>'[32]Consumo Diário'!$D$42</f>
        <v>912.82920000000001</v>
      </c>
      <c r="E49" s="20">
        <f t="shared" si="1"/>
        <v>140946.34299999999</v>
      </c>
      <c r="F49" s="21"/>
      <c r="G49" s="20">
        <f t="shared" si="12"/>
        <v>5686.8759799256368</v>
      </c>
      <c r="H49" s="20">
        <f t="shared" si="12"/>
        <v>283.04330942763346</v>
      </c>
      <c r="I49" s="20">
        <f t="shared" si="2"/>
        <v>5969.91928935327</v>
      </c>
      <c r="J49" s="21"/>
      <c r="K49" s="22">
        <f>'[32]Consumo Diário'!$EI$42</f>
        <v>6868.3652200743527</v>
      </c>
      <c r="L49" s="22">
        <f>'[32]Consumo Diário'!$EJ$42</f>
        <v>331.77249057236628</v>
      </c>
      <c r="M49" s="22">
        <f t="shared" si="3"/>
        <v>7200.1377106467189</v>
      </c>
      <c r="N49" s="21"/>
      <c r="O49" s="23">
        <f>'[32]Consumo Diário'!$ED$42</f>
        <v>152588.75499999998</v>
      </c>
      <c r="P49" s="23">
        <f>'[32]Consumo Diário'!$EE$42</f>
        <v>1527.6449999999998</v>
      </c>
      <c r="Q49" s="23">
        <f t="shared" si="4"/>
        <v>154116.39999999997</v>
      </c>
      <c r="R49" s="25"/>
      <c r="S49" s="24">
        <f t="shared" si="5"/>
        <v>0.95328117117550959</v>
      </c>
      <c r="T49" s="24">
        <f t="shared" si="6"/>
        <v>4.6718828824490584E-2</v>
      </c>
      <c r="V49" s="24">
        <f t="shared" si="7"/>
        <v>0.94552163027377789</v>
      </c>
      <c r="W49" s="24">
        <f t="shared" si="8"/>
        <v>7.7595409017316378E-3</v>
      </c>
      <c r="X49" s="24">
        <f t="shared" si="9"/>
        <v>4.4566089138302963E-2</v>
      </c>
      <c r="Y49" s="24">
        <f t="shared" si="10"/>
        <v>2.152739686187624E-3</v>
      </c>
    </row>
    <row r="50" spans="2:25" ht="15" x14ac:dyDescent="0.25">
      <c r="B50" s="19">
        <v>44866</v>
      </c>
      <c r="C50" s="20">
        <f>'[33]Consumo Diário'!$C$42</f>
        <v>133432.2899</v>
      </c>
      <c r="D50" s="20">
        <f>'[33]Consumo Diário'!$D$42</f>
        <v>915.75119999999993</v>
      </c>
      <c r="E50" s="20">
        <f t="shared" si="1"/>
        <v>134348.0411</v>
      </c>
      <c r="F50" s="21"/>
      <c r="G50" s="20">
        <f t="shared" si="12"/>
        <v>5306.2404266849207</v>
      </c>
      <c r="H50" s="20">
        <f t="shared" si="12"/>
        <v>270.07623555774728</v>
      </c>
      <c r="I50" s="20">
        <f t="shared" si="2"/>
        <v>5576.3166622426679</v>
      </c>
      <c r="J50" s="21"/>
      <c r="K50" s="22">
        <f>'[33]Consumo Diário'!$EU$42</f>
        <v>6766.2186733150866</v>
      </c>
      <c r="L50" s="22">
        <f>'[33]Consumo Diário'!$EV$42</f>
        <v>315.22756444225286</v>
      </c>
      <c r="M50" s="22">
        <f t="shared" si="3"/>
        <v>7081.4462377573391</v>
      </c>
      <c r="N50" s="21"/>
      <c r="O50" s="26">
        <f>'[33]Consumo Diário'!$EP$42</f>
        <v>145504.74900000001</v>
      </c>
      <c r="P50" s="26">
        <f>'[33]Consumo Diário'!$EQ$42</f>
        <v>1501.0550000000001</v>
      </c>
      <c r="Q50" s="26">
        <f t="shared" si="4"/>
        <v>147005.804</v>
      </c>
      <c r="R50" s="25"/>
      <c r="S50" s="24">
        <f t="shared" si="5"/>
        <v>0.95182879828501643</v>
      </c>
      <c r="T50" s="24">
        <f t="shared" si="6"/>
        <v>4.8171201714983569E-2</v>
      </c>
      <c r="V50" s="24">
        <f t="shared" si="7"/>
        <v>0.94376226347284176</v>
      </c>
      <c r="W50" s="24">
        <f t="shared" si="8"/>
        <v>8.066534812174812E-3</v>
      </c>
      <c r="X50" s="24">
        <f t="shared" si="9"/>
        <v>4.6026881178889277E-2</v>
      </c>
      <c r="Y50" s="24">
        <f t="shared" si="10"/>
        <v>2.1443205360942947E-3</v>
      </c>
    </row>
    <row r="51" spans="2:25" ht="15" x14ac:dyDescent="0.25">
      <c r="B51" s="19">
        <v>44896</v>
      </c>
      <c r="C51" s="20">
        <f>'[34]Consumo Diário'!$C$42</f>
        <v>136878.71279999998</v>
      </c>
      <c r="D51" s="20">
        <f>'[34]Consumo Diário'!$D$42</f>
        <v>986.65779999999995</v>
      </c>
      <c r="E51" s="20">
        <f t="shared" si="1"/>
        <v>137865.37059999997</v>
      </c>
      <c r="F51" s="21"/>
      <c r="G51" s="20">
        <f t="shared" si="12"/>
        <v>5434.2688281034179</v>
      </c>
      <c r="H51" s="20">
        <f t="shared" si="12"/>
        <v>293.2743057387072</v>
      </c>
      <c r="I51" s="20">
        <f t="shared" si="2"/>
        <v>5727.5431338421249</v>
      </c>
      <c r="J51" s="21"/>
      <c r="K51" s="22">
        <f>'[34]Consumo Diário'!$EU$42</f>
        <v>6977.8303718966081</v>
      </c>
      <c r="L51" s="22">
        <f>'[34]Consumo Diário'!$EV$42</f>
        <v>359.63589426129283</v>
      </c>
      <c r="M51" s="22">
        <f t="shared" si="3"/>
        <v>7337.4662661579005</v>
      </c>
      <c r="N51" s="21"/>
      <c r="O51" s="26">
        <f>'[34]Consumo Diário'!$EP$42</f>
        <v>149290.81200000001</v>
      </c>
      <c r="P51" s="26">
        <f>'[34]Consumo Diário'!$EQ$42</f>
        <v>1639.568</v>
      </c>
      <c r="Q51" s="26">
        <f t="shared" si="4"/>
        <v>150930.38</v>
      </c>
      <c r="R51" s="25"/>
      <c r="S51" s="24">
        <f t="shared" si="5"/>
        <v>0.95138509380180503</v>
      </c>
      <c r="T51" s="24">
        <f t="shared" si="6"/>
        <v>4.8614906198194828E-2</v>
      </c>
      <c r="V51" s="24">
        <f t="shared" si="7"/>
        <v>0.94290481232541379</v>
      </c>
      <c r="W51" s="24">
        <f t="shared" si="8"/>
        <v>8.4802814763913475E-3</v>
      </c>
      <c r="X51" s="24">
        <f t="shared" si="9"/>
        <v>4.6232112924492787E-2</v>
      </c>
      <c r="Y51" s="24">
        <f t="shared" si="10"/>
        <v>2.3827932737020396E-3</v>
      </c>
    </row>
    <row r="52" spans="2:25" ht="15" x14ac:dyDescent="0.25">
      <c r="B52" s="19">
        <v>44927</v>
      </c>
      <c r="C52" s="20">
        <f>'[35]Consumo Diário'!$C$42</f>
        <v>131386.7831</v>
      </c>
      <c r="D52" s="20">
        <f>'[35]Consumo Diário'!$D$42</f>
        <v>977.75680000000011</v>
      </c>
      <c r="E52" s="20">
        <f t="shared" si="1"/>
        <v>132364.5399</v>
      </c>
      <c r="F52" s="21"/>
      <c r="G52" s="20">
        <f t="shared" si="12"/>
        <v>5412.0795530793966</v>
      </c>
      <c r="H52" s="20">
        <f t="shared" si="12"/>
        <v>298.06957304434746</v>
      </c>
      <c r="I52" s="20">
        <f t="shared" si="2"/>
        <v>5710.1491261237443</v>
      </c>
      <c r="J52" s="21"/>
      <c r="K52" s="22">
        <f>'[35]Consumo Diário'!$EU$42</f>
        <v>6888.6673469205725</v>
      </c>
      <c r="L52" s="22">
        <f>'[35]Consumo Diário'!$EV$42</f>
        <v>374.03562695565228</v>
      </c>
      <c r="M52" s="22">
        <f t="shared" si="3"/>
        <v>7262.7029738762249</v>
      </c>
      <c r="N52" s="21"/>
      <c r="O52" s="26">
        <f>'[35]Consumo Diário'!$EP$42</f>
        <v>143687.52999999997</v>
      </c>
      <c r="P52" s="26">
        <f>'[35]Consumo Diário'!$EQ$42</f>
        <v>1649.8619999999999</v>
      </c>
      <c r="Q52" s="26">
        <f t="shared" si="4"/>
        <v>145337.39199999996</v>
      </c>
      <c r="R52" s="25"/>
      <c r="S52" s="24">
        <f t="shared" si="5"/>
        <v>0.95002866864518798</v>
      </c>
      <c r="T52" s="24">
        <f t="shared" si="6"/>
        <v>4.9971331354812167E-2</v>
      </c>
      <c r="V52" s="24">
        <f t="shared" si="7"/>
        <v>0.94125029196257637</v>
      </c>
      <c r="W52" s="24">
        <f t="shared" si="8"/>
        <v>8.7783766826113677E-3</v>
      </c>
      <c r="X52" s="24">
        <f t="shared" si="9"/>
        <v>4.7397763590807891E-2</v>
      </c>
      <c r="Y52" s="24">
        <f t="shared" si="10"/>
        <v>2.5735677640042719E-3</v>
      </c>
    </row>
    <row r="53" spans="2:25" ht="15" x14ac:dyDescent="0.25">
      <c r="B53" s="19">
        <v>44958</v>
      </c>
      <c r="C53" s="20">
        <f>'[36]Consumo Diário'!$C$42</f>
        <v>118667.73999999999</v>
      </c>
      <c r="D53" s="20">
        <f>'[36]Consumo Diário'!$D$42</f>
        <v>822.55349999999999</v>
      </c>
      <c r="E53" s="20">
        <f t="shared" si="1"/>
        <v>119490.29349999999</v>
      </c>
      <c r="F53" s="21"/>
      <c r="G53" s="20">
        <f t="shared" si="12"/>
        <v>4749.7326768873882</v>
      </c>
      <c r="H53" s="20">
        <f t="shared" si="12"/>
        <v>254.13334142348941</v>
      </c>
      <c r="I53" s="20">
        <f t="shared" si="2"/>
        <v>5003.8660183108777</v>
      </c>
      <c r="J53" s="21"/>
      <c r="K53" s="22">
        <f>'[36]Consumo Diário'!$EU$42</f>
        <v>6514.3789231126157</v>
      </c>
      <c r="L53" s="22">
        <f>'[36]Consumo Diário'!$EV$42</f>
        <v>329.60815857651068</v>
      </c>
      <c r="M53" s="22">
        <f t="shared" si="3"/>
        <v>6843.9870816891262</v>
      </c>
      <c r="N53" s="21"/>
      <c r="O53" s="26">
        <f>'[36]Consumo Diário'!$EP$42</f>
        <v>129931.85159999999</v>
      </c>
      <c r="P53" s="26">
        <f>'[36]Consumo Diário'!$EQ$42</f>
        <v>1406.2950000000001</v>
      </c>
      <c r="Q53" s="26">
        <f t="shared" si="4"/>
        <v>131338.14660000001</v>
      </c>
      <c r="R53" s="25"/>
      <c r="S53" s="24">
        <f t="shared" si="5"/>
        <v>0.94789033301548697</v>
      </c>
      <c r="T53" s="24">
        <f t="shared" si="6"/>
        <v>5.2109666984512831E-2</v>
      </c>
      <c r="V53" s="24">
        <f t="shared" si="7"/>
        <v>0.93969251030140066</v>
      </c>
      <c r="W53" s="24">
        <f t="shared" si="8"/>
        <v>8.1978227140863981E-3</v>
      </c>
      <c r="X53" s="24">
        <f t="shared" si="9"/>
        <v>4.9600052168793249E-2</v>
      </c>
      <c r="Y53" s="24">
        <f t="shared" si="10"/>
        <v>2.5096148157195837E-3</v>
      </c>
    </row>
    <row r="54" spans="2:25" ht="15" x14ac:dyDescent="0.25">
      <c r="B54" s="19">
        <v>44986</v>
      </c>
      <c r="C54" s="20">
        <f>'[37]Consumo Diário'!$C$42</f>
        <v>118620.54818998552</v>
      </c>
      <c r="D54" s="20">
        <f>'[37]Consumo Diário'!$D$42</f>
        <v>1037.6030295056157</v>
      </c>
      <c r="E54" s="20">
        <f t="shared" si="1"/>
        <v>119658.15121949113</v>
      </c>
      <c r="F54" s="21"/>
      <c r="G54" s="20">
        <f t="shared" ref="G54:H56" si="13">O54-C54-K54</f>
        <v>4422.4404653968386</v>
      </c>
      <c r="H54" s="20">
        <f t="shared" si="13"/>
        <v>289.29922147949179</v>
      </c>
      <c r="I54" s="20">
        <f t="shared" si="2"/>
        <v>4711.7396868763308</v>
      </c>
      <c r="J54" s="21"/>
      <c r="K54" s="22">
        <f>'[37]Consumo Diário'!$EU$42</f>
        <v>7115.9143446176304</v>
      </c>
      <c r="L54" s="22">
        <f>'[37]Consumo Diário'!$EV$42</f>
        <v>401.82774901489228</v>
      </c>
      <c r="M54" s="22">
        <f t="shared" si="3"/>
        <v>7517.7420936325225</v>
      </c>
      <c r="N54" s="21"/>
      <c r="O54" s="26">
        <f>'[37]Consumo Diário'!$EP$42</f>
        <v>130158.90299999999</v>
      </c>
      <c r="P54" s="26">
        <f>'[37]Consumo Diário'!$EQ$42</f>
        <v>1728.7299999999998</v>
      </c>
      <c r="Q54" s="26">
        <f t="shared" si="4"/>
        <v>131887.633</v>
      </c>
      <c r="R54" s="25"/>
      <c r="S54" s="24">
        <f t="shared" si="5"/>
        <v>0.9429988853190463</v>
      </c>
      <c r="T54" s="24">
        <f t="shared" si="6"/>
        <v>5.7001114680953612E-2</v>
      </c>
      <c r="V54" s="24">
        <f t="shared" si="7"/>
        <v>0.93293803108425155</v>
      </c>
      <c r="W54" s="24">
        <f t="shared" si="8"/>
        <v>1.0060854234794763E-2</v>
      </c>
      <c r="X54" s="24">
        <f t="shared" si="9"/>
        <v>5.3954371480892604E-2</v>
      </c>
      <c r="Y54" s="24">
        <f t="shared" si="10"/>
        <v>3.0467432000610114E-3</v>
      </c>
    </row>
    <row r="55" spans="2:25" ht="15" x14ac:dyDescent="0.25">
      <c r="B55" s="19">
        <v>45017</v>
      </c>
      <c r="C55" s="20">
        <f>'[38]Consumo Diário'!$C$42</f>
        <v>127990.8616</v>
      </c>
      <c r="D55" s="20">
        <f>'[38]Consumo Diário'!$D$42</f>
        <v>774.75660000000005</v>
      </c>
      <c r="E55" s="20">
        <f t="shared" si="1"/>
        <v>128765.6182</v>
      </c>
      <c r="F55" s="21"/>
      <c r="G55" s="20">
        <f t="shared" si="13"/>
        <v>5618.3182101654565</v>
      </c>
      <c r="H55" s="20">
        <f t="shared" si="13"/>
        <v>239.429485814396</v>
      </c>
      <c r="I55" s="20">
        <f t="shared" si="2"/>
        <v>5857.7476959798523</v>
      </c>
      <c r="J55" s="21"/>
      <c r="K55" s="22">
        <f>'[38]Consumo Diário'!$EU$42</f>
        <v>6906.4151898345117</v>
      </c>
      <c r="L55" s="22">
        <f>'[38]Consumo Diário'!$EV$42</f>
        <v>300.96691418560397</v>
      </c>
      <c r="M55" s="22">
        <f t="shared" si="3"/>
        <v>7207.3821040201155</v>
      </c>
      <c r="N55" s="21"/>
      <c r="O55" s="26">
        <f>'[38]Consumo Diário'!$EP$42</f>
        <v>140515.59499999997</v>
      </c>
      <c r="P55" s="26">
        <f>'[38]Consumo Diário'!$EQ$42</f>
        <v>1315.153</v>
      </c>
      <c r="Q55" s="26">
        <f t="shared" si="4"/>
        <v>141830.74799999996</v>
      </c>
      <c r="R55" s="25"/>
      <c r="S55" s="24">
        <f t="shared" si="5"/>
        <v>0.94918321869091393</v>
      </c>
      <c r="T55" s="24">
        <f t="shared" si="6"/>
        <v>5.081678130908622E-2</v>
      </c>
      <c r="V55" s="24">
        <f t="shared" si="7"/>
        <v>0.94203254015247451</v>
      </c>
      <c r="W55" s="24">
        <f t="shared" si="8"/>
        <v>7.1506785384393258E-3</v>
      </c>
      <c r="X55" s="24">
        <f t="shared" si="9"/>
        <v>4.8694766735873897E-2</v>
      </c>
      <c r="Y55" s="24">
        <f t="shared" si="10"/>
        <v>2.1220145732123194E-3</v>
      </c>
    </row>
    <row r="56" spans="2:25" ht="15" x14ac:dyDescent="0.25">
      <c r="B56" s="19">
        <v>45047</v>
      </c>
      <c r="C56" s="20">
        <f>'[39]Consumo Diário'!$C$42</f>
        <v>134270.04179999998</v>
      </c>
      <c r="D56" s="20">
        <f>'[39]Consumo Diário'!$D$42</f>
        <v>1001.9914</v>
      </c>
      <c r="E56" s="20">
        <f t="shared" si="1"/>
        <v>135272.03319999998</v>
      </c>
      <c r="F56" s="21"/>
      <c r="G56" s="20">
        <f t="shared" si="13"/>
        <v>6312.3806716675845</v>
      </c>
      <c r="H56" s="20">
        <f t="shared" si="13"/>
        <v>289.38686623713488</v>
      </c>
      <c r="I56" s="20">
        <f t="shared" si="2"/>
        <v>6601.7675379047196</v>
      </c>
      <c r="J56" s="21"/>
      <c r="K56" s="22">
        <f>'[39]Consumo Diário'!$EU$42</f>
        <v>7229.2995283324472</v>
      </c>
      <c r="L56" s="22">
        <f>'[39]Consumo Diário'!$EV$42</f>
        <v>347.3907337628649</v>
      </c>
      <c r="M56" s="22">
        <f t="shared" si="3"/>
        <v>7576.6902620953124</v>
      </c>
      <c r="N56" s="21"/>
      <c r="O56" s="26">
        <f>'[39]Consumo Diário'!$EP$42</f>
        <v>147811.72200000001</v>
      </c>
      <c r="P56" s="26">
        <f>'[39]Consumo Diário'!$EQ$42</f>
        <v>1638.7689999999998</v>
      </c>
      <c r="Q56" s="26">
        <f t="shared" si="4"/>
        <v>149450.49100000001</v>
      </c>
      <c r="R56" s="25"/>
      <c r="S56" s="24">
        <f t="shared" si="5"/>
        <v>0.94930300856559047</v>
      </c>
      <c r="T56" s="24">
        <f t="shared" si="6"/>
        <v>5.0696991434409616E-2</v>
      </c>
      <c r="V56" s="24">
        <f t="shared" si="7"/>
        <v>0.94066216531645619</v>
      </c>
      <c r="W56" s="24">
        <f t="shared" si="8"/>
        <v>8.6408432491341565E-3</v>
      </c>
      <c r="X56" s="24">
        <f t="shared" si="9"/>
        <v>4.8372537821454509E-2</v>
      </c>
      <c r="Y56" s="24">
        <f t="shared" si="10"/>
        <v>2.3244536129551083E-3</v>
      </c>
    </row>
    <row r="57" spans="2:25" ht="15" x14ac:dyDescent="0.25">
      <c r="B57" s="19">
        <v>45078</v>
      </c>
      <c r="C57" s="20">
        <f>'[40]Consumo Diário'!$C$42</f>
        <v>127479.28509999999</v>
      </c>
      <c r="D57" s="20">
        <f>'[40]Consumo Diário'!$D$42</f>
        <v>905.2118999999999</v>
      </c>
      <c r="E57" s="20">
        <f t="shared" ref="E57:E63" si="14">C57+D57</f>
        <v>128384.49699999999</v>
      </c>
      <c r="F57" s="21"/>
      <c r="G57" s="20">
        <f t="shared" ref="G57:G63" si="15">O57-C57-K57</f>
        <v>5847.694026899243</v>
      </c>
      <c r="H57" s="20">
        <f t="shared" ref="H57:H63" si="16">P57-D57-L57</f>
        <v>278.07017512535305</v>
      </c>
      <c r="I57" s="20">
        <f t="shared" ref="I57:I63" si="17">G57+H57</f>
        <v>6125.7642020245958</v>
      </c>
      <c r="J57" s="21"/>
      <c r="K57" s="22">
        <f>'[40]Consumo Diário'!$EU$42</f>
        <v>7055.3418731007887</v>
      </c>
      <c r="L57" s="22">
        <f>'[40]Consumo Diário'!$EV$42</f>
        <v>350.2329248746467</v>
      </c>
      <c r="M57" s="22">
        <f t="shared" ref="M57:M63" si="18">K57+L57</f>
        <v>7405.5747979754351</v>
      </c>
      <c r="N57" s="21"/>
      <c r="O57" s="26">
        <f>'[40]Consumo Diário'!$EP$42</f>
        <v>140382.32100000003</v>
      </c>
      <c r="P57" s="26">
        <f>'[40]Consumo Diário'!$EQ$42</f>
        <v>1533.5149999999996</v>
      </c>
      <c r="Q57" s="26">
        <f t="shared" ref="Q57:Q63" si="19">O57+P57</f>
        <v>141915.83600000004</v>
      </c>
      <c r="R57" s="25"/>
      <c r="S57" s="24">
        <f t="shared" ref="S57:S63" si="20">(E57+I57)/Q57</f>
        <v>0.94781713579888682</v>
      </c>
      <c r="T57" s="24">
        <f t="shared" ref="T57:T63" si="21">M57/Q57</f>
        <v>5.2182864201113066E-2</v>
      </c>
      <c r="V57" s="24">
        <f t="shared" ref="V57:V63" si="22">(C57+G57)/Q57</f>
        <v>0.9394792215218265</v>
      </c>
      <c r="W57" s="24">
        <f t="shared" ref="W57:W63" si="23">(D57+H57)/Q57</f>
        <v>8.3379142770603331E-3</v>
      </c>
      <c r="X57" s="24">
        <f t="shared" ref="X57:X63" si="24">K57/Q57</f>
        <v>4.9714972422815355E-2</v>
      </c>
      <c r="Y57" s="24">
        <f t="shared" ref="Y57:Y63" si="25">L57/Q57</f>
        <v>2.467891778297713E-3</v>
      </c>
    </row>
    <row r="58" spans="2:25" ht="15" x14ac:dyDescent="0.25">
      <c r="B58" s="19">
        <v>45108</v>
      </c>
      <c r="C58" s="20">
        <f>'[41]Consumo Diário'!$C$42</f>
        <v>131535.21889999998</v>
      </c>
      <c r="D58" s="20">
        <f>'[41]Consumo Diário'!$D$42</f>
        <v>925.62560000000008</v>
      </c>
      <c r="E58" s="20">
        <f t="shared" si="14"/>
        <v>132460.84449999998</v>
      </c>
      <c r="F58" s="21"/>
      <c r="G58" s="20">
        <f t="shared" si="15"/>
        <v>6383.0160206834671</v>
      </c>
      <c r="H58" s="20">
        <f t="shared" si="16"/>
        <v>272.59674622108633</v>
      </c>
      <c r="I58" s="20">
        <f t="shared" si="17"/>
        <v>6655.6127669045536</v>
      </c>
      <c r="J58" s="21"/>
      <c r="K58" s="22">
        <f>'[41]Consumo Diário'!$EU$42</f>
        <v>6918.497079316573</v>
      </c>
      <c r="L58" s="22">
        <f>'[41]Consumo Diário'!$EV$42</f>
        <v>302.54365377891389</v>
      </c>
      <c r="M58" s="22">
        <f t="shared" si="18"/>
        <v>7221.0407330954868</v>
      </c>
      <c r="N58" s="21"/>
      <c r="O58" s="26">
        <f>'[41]Consumo Diário'!$EP$42</f>
        <v>144836.73200000002</v>
      </c>
      <c r="P58" s="26">
        <f>'[41]Consumo Diário'!$EQ$42</f>
        <v>1500.7660000000003</v>
      </c>
      <c r="Q58" s="26">
        <f t="shared" si="19"/>
        <v>146337.49800000002</v>
      </c>
      <c r="R58" s="25"/>
      <c r="S58" s="24">
        <f t="shared" si="20"/>
        <v>0.95065488455258751</v>
      </c>
      <c r="T58" s="24">
        <f t="shared" si="21"/>
        <v>4.9345115447412428E-2</v>
      </c>
      <c r="V58" s="24">
        <f t="shared" si="22"/>
        <v>0.9424668099811534</v>
      </c>
      <c r="W58" s="24">
        <f t="shared" si="23"/>
        <v>8.1880745714340841E-3</v>
      </c>
      <c r="X58" s="24">
        <f t="shared" si="24"/>
        <v>4.727767779189837E-2</v>
      </c>
      <c r="Y58" s="24">
        <f t="shared" si="25"/>
        <v>2.0674376555140628E-3</v>
      </c>
    </row>
    <row r="59" spans="2:25" ht="15" x14ac:dyDescent="0.25">
      <c r="B59" s="19">
        <v>45139</v>
      </c>
      <c r="C59" s="20">
        <f>'[42]Consumo Diário'!$C$42</f>
        <v>123349.2494</v>
      </c>
      <c r="D59" s="20">
        <f>'[42]Consumo Diário'!$D$42</f>
        <v>12838.795100000001</v>
      </c>
      <c r="E59" s="20">
        <f t="shared" si="14"/>
        <v>136188.04449999999</v>
      </c>
      <c r="F59" s="21"/>
      <c r="G59" s="20">
        <f t="shared" si="15"/>
        <v>6388.0288986592159</v>
      </c>
      <c r="H59" s="20">
        <f t="shared" si="16"/>
        <v>680.03438832388713</v>
      </c>
      <c r="I59" s="20">
        <f t="shared" si="17"/>
        <v>7068.0632869831034</v>
      </c>
      <c r="J59" s="21"/>
      <c r="K59" s="22">
        <f>'[42]Consumo Diário'!$EU$42</f>
        <v>6623.1917013407847</v>
      </c>
      <c r="L59" s="22">
        <f>'[42]Consumo Diário'!$EV$42</f>
        <v>700.9355116761111</v>
      </c>
      <c r="M59" s="22">
        <f t="shared" si="18"/>
        <v>7324.1272130168954</v>
      </c>
      <c r="N59" s="21"/>
      <c r="O59" s="26">
        <f>'[42]Consumo Diário'!$EP$42</f>
        <v>136360.47</v>
      </c>
      <c r="P59" s="26">
        <f>'[42]Consumo Diário'!$EQ$42</f>
        <v>14219.764999999999</v>
      </c>
      <c r="Q59" s="26">
        <f t="shared" si="19"/>
        <v>150580.23499999999</v>
      </c>
      <c r="R59" s="25"/>
      <c r="S59" s="24">
        <f t="shared" si="20"/>
        <v>0.95136063366472445</v>
      </c>
      <c r="T59" s="24">
        <f t="shared" si="21"/>
        <v>4.8639366335275651E-2</v>
      </c>
      <c r="V59" s="24">
        <f t="shared" si="22"/>
        <v>0.86158238694911871</v>
      </c>
      <c r="W59" s="24">
        <f t="shared" si="23"/>
        <v>8.9778246715605733E-2</v>
      </c>
      <c r="X59" s="24">
        <f t="shared" si="24"/>
        <v>4.398446915254705E-2</v>
      </c>
      <c r="Y59" s="24">
        <f t="shared" si="25"/>
        <v>4.6548971827286047E-3</v>
      </c>
    </row>
    <row r="60" spans="2:25" ht="15" x14ac:dyDescent="0.25">
      <c r="B60" s="19">
        <v>45170</v>
      </c>
      <c r="C60" s="20">
        <f>'[43]Consumo Diário'!$C$42</f>
        <v>119003.61299999998</v>
      </c>
      <c r="D60" s="20">
        <f>'[43]Consumo Diário'!$D$42</f>
        <v>10928.9432</v>
      </c>
      <c r="E60" s="20">
        <f t="shared" si="14"/>
        <v>129932.55619999998</v>
      </c>
      <c r="F60" s="21"/>
      <c r="G60" s="20">
        <f t="shared" si="15"/>
        <v>5909.9190984899442</v>
      </c>
      <c r="H60" s="20">
        <f t="shared" si="16"/>
        <v>539.00477805054129</v>
      </c>
      <c r="I60" s="20">
        <f t="shared" si="17"/>
        <v>6448.9238765404853</v>
      </c>
      <c r="J60" s="21"/>
      <c r="K60" s="22">
        <f>'[43]Consumo Diário'!$EU$42</f>
        <v>6717.4429015100786</v>
      </c>
      <c r="L60" s="22">
        <f>'[43]Consumo Diário'!$EV$42</f>
        <v>636.23902194945708</v>
      </c>
      <c r="M60" s="22">
        <f t="shared" si="18"/>
        <v>7353.6819234595359</v>
      </c>
      <c r="N60" s="21"/>
      <c r="O60" s="26">
        <f>'[43]Consumo Diário'!$EP$42</f>
        <v>131630.97500000001</v>
      </c>
      <c r="P60" s="26">
        <f>'[43]Consumo Diário'!$EQ$42</f>
        <v>12104.186999999998</v>
      </c>
      <c r="Q60" s="26">
        <f t="shared" si="19"/>
        <v>143735.16200000001</v>
      </c>
      <c r="R60" s="25"/>
      <c r="S60" s="24">
        <f t="shared" si="20"/>
        <v>0.94883867091992735</v>
      </c>
      <c r="T60" s="24">
        <f t="shared" si="21"/>
        <v>5.1161329080072523E-2</v>
      </c>
      <c r="V60" s="24">
        <f t="shared" si="22"/>
        <v>0.86905340600297876</v>
      </c>
      <c r="W60" s="24">
        <f t="shared" si="23"/>
        <v>7.978526491694872E-2</v>
      </c>
      <c r="X60" s="24">
        <f t="shared" si="24"/>
        <v>4.6734861588774483E-2</v>
      </c>
      <c r="Y60" s="24">
        <f t="shared" si="25"/>
        <v>4.4264674912980377E-3</v>
      </c>
    </row>
    <row r="61" spans="2:25" ht="15" x14ac:dyDescent="0.25">
      <c r="B61" s="19">
        <v>45200</v>
      </c>
      <c r="C61" s="20">
        <f>'[44]Consumo Diário'!$C$42</f>
        <v>129880.48930000002</v>
      </c>
      <c r="D61" s="20">
        <f>'[44]Consumo Diário'!$D$42</f>
        <v>11927.911800000002</v>
      </c>
      <c r="E61" s="20">
        <f t="shared" si="14"/>
        <v>141808.40110000002</v>
      </c>
      <c r="F61" s="21"/>
      <c r="G61" s="20">
        <f t="shared" si="15"/>
        <v>5941.1816631648762</v>
      </c>
      <c r="H61" s="20">
        <f t="shared" si="16"/>
        <v>698.46142825190384</v>
      </c>
      <c r="I61" s="20">
        <f t="shared" si="17"/>
        <v>6639.6430914167804</v>
      </c>
      <c r="J61" s="21"/>
      <c r="K61" s="22">
        <f>'[44]Consumo Diário'!$EU$42</f>
        <v>6354.1070368351284</v>
      </c>
      <c r="L61" s="22">
        <f>'[44]Consumo Diário'!$EV$42</f>
        <v>453.55977174809539</v>
      </c>
      <c r="M61" s="22">
        <f t="shared" si="18"/>
        <v>6807.6668085832234</v>
      </c>
      <c r="N61" s="21"/>
      <c r="O61" s="26">
        <f>'[44]Consumo Diário'!$EP$42</f>
        <v>142175.77800000002</v>
      </c>
      <c r="P61" s="26">
        <f>'[44]Consumo Diário'!$EQ$42</f>
        <v>13079.933000000001</v>
      </c>
      <c r="Q61" s="26">
        <f t="shared" si="19"/>
        <v>155255.71100000001</v>
      </c>
      <c r="R61" s="25"/>
      <c r="S61" s="24">
        <f t="shared" si="20"/>
        <v>0.95615190729709632</v>
      </c>
      <c r="T61" s="24">
        <f t="shared" si="21"/>
        <v>4.3848092702903685E-2</v>
      </c>
      <c r="V61" s="24">
        <f t="shared" si="22"/>
        <v>0.87482560279643995</v>
      </c>
      <c r="W61" s="24">
        <f t="shared" si="23"/>
        <v>8.1326304500656366E-2</v>
      </c>
      <c r="X61" s="24">
        <f t="shared" si="24"/>
        <v>4.0926720156755636E-2</v>
      </c>
      <c r="Y61" s="24">
        <f t="shared" si="25"/>
        <v>2.9213725461480471E-3</v>
      </c>
    </row>
    <row r="62" spans="2:25" ht="15" x14ac:dyDescent="0.25">
      <c r="B62" s="19">
        <v>45231</v>
      </c>
      <c r="C62" s="20">
        <f>'[45]Consumo Diário'!$C$42</f>
        <v>113205.37360000002</v>
      </c>
      <c r="D62" s="20">
        <f>'[45]Consumo Diário'!$D$42</f>
        <v>9885.3034999999982</v>
      </c>
      <c r="E62" s="20">
        <f t="shared" si="14"/>
        <v>123090.67710000002</v>
      </c>
      <c r="F62" s="21"/>
      <c r="G62" s="20">
        <f t="shared" si="15"/>
        <v>4750.371426751437</v>
      </c>
      <c r="H62" s="20">
        <f t="shared" si="16"/>
        <v>471.49623980068793</v>
      </c>
      <c r="I62" s="20">
        <f t="shared" si="17"/>
        <v>5221.8676665521252</v>
      </c>
      <c r="J62" s="21"/>
      <c r="K62" s="22">
        <f>'[45]Consumo Diário'!$EU$42</f>
        <v>6064.5079732485392</v>
      </c>
      <c r="L62" s="22">
        <f>'[45]Consumo Diário'!$EV$42</f>
        <v>517.85626019931658</v>
      </c>
      <c r="M62" s="22">
        <f t="shared" si="18"/>
        <v>6582.3642334478554</v>
      </c>
      <c r="N62" s="21"/>
      <c r="O62" s="26">
        <f>'[45]Consumo Diário'!$EP$42</f>
        <v>124020.253</v>
      </c>
      <c r="P62" s="26">
        <f>'[45]Consumo Diário'!$EQ$42</f>
        <v>10874.656000000003</v>
      </c>
      <c r="Q62" s="26">
        <f t="shared" si="19"/>
        <v>134894.90899999999</v>
      </c>
      <c r="R62" s="25"/>
      <c r="S62" s="24">
        <f t="shared" si="20"/>
        <v>0.95120376089621106</v>
      </c>
      <c r="T62" s="24">
        <f t="shared" si="21"/>
        <v>4.8796239103788983E-2</v>
      </c>
      <c r="V62" s="24">
        <f t="shared" si="22"/>
        <v>0.87442695874276077</v>
      </c>
      <c r="W62" s="24">
        <f t="shared" si="23"/>
        <v>7.6776802153450341E-2</v>
      </c>
      <c r="X62" s="24">
        <f t="shared" si="24"/>
        <v>4.495727835991601E-2</v>
      </c>
      <c r="Y62" s="24">
        <f t="shared" si="25"/>
        <v>3.8389607438729704E-3</v>
      </c>
    </row>
    <row r="63" spans="2:25" ht="15" x14ac:dyDescent="0.25">
      <c r="B63" s="19">
        <v>45261</v>
      </c>
      <c r="C63" s="92">
        <f>'[46]Consumo Diário'!$C$42</f>
        <v>127562.61660000002</v>
      </c>
      <c r="D63" s="92">
        <f>'[46]Consumo Diário'!$D$42</f>
        <v>10977.8292</v>
      </c>
      <c r="E63" s="92">
        <f t="shared" si="14"/>
        <v>138540.44580000002</v>
      </c>
      <c r="F63" s="93"/>
      <c r="G63" s="92">
        <f t="shared" si="15"/>
        <v>4680.0109521530512</v>
      </c>
      <c r="H63" s="92">
        <f t="shared" si="16"/>
        <v>409.88070540327328</v>
      </c>
      <c r="I63" s="92">
        <f t="shared" si="17"/>
        <v>5089.8916575563244</v>
      </c>
      <c r="J63" s="93"/>
      <c r="K63" s="94">
        <f>'[46]Consumo Diário'!$EU$42</f>
        <v>6975.9234478469325</v>
      </c>
      <c r="L63" s="94">
        <f>'[46]Consumo Diário'!$EV$42</f>
        <v>613.51809459672756</v>
      </c>
      <c r="M63" s="94">
        <f t="shared" si="18"/>
        <v>7589.4415424436602</v>
      </c>
      <c r="N63" s="93"/>
      <c r="O63" s="26">
        <f>'[46]Consumo Diário'!$EP$42</f>
        <v>139218.55100000001</v>
      </c>
      <c r="P63" s="26">
        <f>'[46]Consumo Diário'!$EQ$42</f>
        <v>12001.228000000001</v>
      </c>
      <c r="Q63" s="26">
        <f t="shared" si="19"/>
        <v>151219.77900000001</v>
      </c>
      <c r="R63" s="25"/>
      <c r="S63" s="95">
        <f t="shared" si="20"/>
        <v>0.94981184609161695</v>
      </c>
      <c r="T63" s="95">
        <f t="shared" si="21"/>
        <v>5.0188153908382972E-2</v>
      </c>
      <c r="U63" s="96"/>
      <c r="V63" s="95">
        <f t="shared" si="22"/>
        <v>0.87450615538958743</v>
      </c>
      <c r="W63" s="95">
        <f t="shared" si="23"/>
        <v>7.530569070202961E-2</v>
      </c>
      <c r="X63" s="95">
        <f t="shared" si="24"/>
        <v>4.6131025279748175E-2</v>
      </c>
      <c r="Y63" s="95">
        <f t="shared" si="25"/>
        <v>4.0571286286347997E-3</v>
      </c>
    </row>
    <row r="64" spans="2:25" ht="15" x14ac:dyDescent="0.25">
      <c r="B64" s="19">
        <v>45292</v>
      </c>
      <c r="C64" s="88">
        <f>'[47]Consumo Diário'!$C$39</f>
        <v>140815.81449999998</v>
      </c>
      <c r="D64" s="88"/>
      <c r="E64" s="88">
        <f t="shared" ref="E64:E69" si="26">C64+D64</f>
        <v>140815.81449999998</v>
      </c>
      <c r="F64" s="93"/>
      <c r="G64" s="88">
        <f t="shared" ref="G64:G69" si="27">O64-C64-K64</f>
        <v>5218.6114000000262</v>
      </c>
      <c r="H64" s="88">
        <f t="shared" ref="H64:H69" si="28">P64-D64-L64</f>
        <v>0</v>
      </c>
      <c r="I64" s="88">
        <f t="shared" ref="I64:I69" si="29">G64+H64</f>
        <v>5218.6114000000262</v>
      </c>
      <c r="J64" s="93"/>
      <c r="K64" s="89">
        <f>'[47]Consumo Diário'!$BA$39</f>
        <v>7645.5790999999999</v>
      </c>
      <c r="L64" s="89"/>
      <c r="M64" s="89">
        <f t="shared" ref="M64:M69" si="30">K64+L64</f>
        <v>7645.5790999999999</v>
      </c>
      <c r="N64" s="93"/>
      <c r="O64" s="90">
        <f>'[47]Consumo Diário'!$AY$39</f>
        <v>153680.005</v>
      </c>
      <c r="P64" s="90"/>
      <c r="Q64" s="90">
        <f t="shared" ref="Q64:Q69" si="31">O64+P64</f>
        <v>153680.005</v>
      </c>
      <c r="R64" s="25"/>
      <c r="S64" s="91">
        <f t="shared" ref="S64:S69" si="32">(E64+I64)/Q64</f>
        <v>0.9502500074749477</v>
      </c>
      <c r="T64" s="91">
        <f t="shared" ref="T64:T69" si="33">M64/Q64</f>
        <v>4.97499925250523E-2</v>
      </c>
      <c r="U64" s="96"/>
      <c r="V64" s="91">
        <f t="shared" ref="V64:V69" si="34">(C64+G64)/Q64</f>
        <v>0.9502500074749477</v>
      </c>
      <c r="W64" s="91"/>
      <c r="X64" s="91">
        <f t="shared" ref="X64:X69" si="35">K64/Q64</f>
        <v>4.97499925250523E-2</v>
      </c>
      <c r="Y64" s="91"/>
    </row>
    <row r="65" spans="1:25" ht="15" x14ac:dyDescent="0.25">
      <c r="B65" s="19">
        <v>45323</v>
      </c>
      <c r="C65" s="88">
        <f>'[48]Consumo Diário'!$C$39</f>
        <v>130989.87639999999</v>
      </c>
      <c r="D65" s="88"/>
      <c r="E65" s="88">
        <f t="shared" si="26"/>
        <v>130989.87639999999</v>
      </c>
      <c r="F65" s="93"/>
      <c r="G65" s="88">
        <f t="shared" si="27"/>
        <v>4881.6664999999921</v>
      </c>
      <c r="H65" s="88">
        <f t="shared" si="28"/>
        <v>0</v>
      </c>
      <c r="I65" s="88">
        <f t="shared" si="29"/>
        <v>4881.6664999999921</v>
      </c>
      <c r="J65" s="93"/>
      <c r="K65" s="89">
        <f>'[48]Consumo Diário'!$BA$39</f>
        <v>7047.6051000000007</v>
      </c>
      <c r="L65" s="89"/>
      <c r="M65" s="89">
        <f t="shared" si="30"/>
        <v>7047.6051000000007</v>
      </c>
      <c r="N65" s="93"/>
      <c r="O65" s="90">
        <f>'[48]Consumo Diário'!$AY$39</f>
        <v>142919.14799999999</v>
      </c>
      <c r="P65" s="90"/>
      <c r="Q65" s="90">
        <f t="shared" si="31"/>
        <v>142919.14799999999</v>
      </c>
      <c r="R65" s="25"/>
      <c r="S65" s="91">
        <f t="shared" si="32"/>
        <v>0.95068816741056983</v>
      </c>
      <c r="T65" s="91">
        <f t="shared" si="33"/>
        <v>4.9311832589430227E-2</v>
      </c>
      <c r="U65" s="96"/>
      <c r="V65" s="91">
        <f t="shared" si="34"/>
        <v>0.95068816741056983</v>
      </c>
      <c r="W65" s="91"/>
      <c r="X65" s="91">
        <f t="shared" si="35"/>
        <v>4.9311832589430227E-2</v>
      </c>
      <c r="Y65" s="91"/>
    </row>
    <row r="66" spans="1:25" ht="15" x14ac:dyDescent="0.25">
      <c r="B66" s="19">
        <v>45352</v>
      </c>
      <c r="C66" s="88">
        <f>'[49]Consumo Diário'!$C$39</f>
        <v>141733.31640000001</v>
      </c>
      <c r="D66" s="88"/>
      <c r="E66" s="88">
        <f t="shared" si="26"/>
        <v>141733.31640000001</v>
      </c>
      <c r="F66" s="93"/>
      <c r="G66" s="88">
        <f t="shared" si="27"/>
        <v>5426.6468999999643</v>
      </c>
      <c r="H66" s="88">
        <f t="shared" si="28"/>
        <v>0</v>
      </c>
      <c r="I66" s="88">
        <f t="shared" si="29"/>
        <v>5426.6468999999643</v>
      </c>
      <c r="J66" s="93"/>
      <c r="K66" s="89">
        <f>'[49]Consumo Diário'!$BA$39</f>
        <v>7486.5037000000002</v>
      </c>
      <c r="L66" s="89"/>
      <c r="M66" s="89">
        <f t="shared" si="30"/>
        <v>7486.5037000000002</v>
      </c>
      <c r="N66" s="93"/>
      <c r="O66" s="90">
        <f>'[49]Consumo Diário'!$AY$39</f>
        <v>154646.46699999998</v>
      </c>
      <c r="P66" s="90"/>
      <c r="Q66" s="90">
        <f t="shared" si="31"/>
        <v>154646.46699999998</v>
      </c>
      <c r="R66" s="25"/>
      <c r="S66" s="91">
        <f t="shared" si="32"/>
        <v>0.95158955878377749</v>
      </c>
      <c r="T66" s="91">
        <f t="shared" si="33"/>
        <v>4.8410441216222559E-2</v>
      </c>
      <c r="U66" s="96"/>
      <c r="V66" s="91">
        <f t="shared" si="34"/>
        <v>0.95158955878377749</v>
      </c>
      <c r="W66" s="91"/>
      <c r="X66" s="91">
        <f t="shared" si="35"/>
        <v>4.8410441216222559E-2</v>
      </c>
      <c r="Y66" s="91"/>
    </row>
    <row r="67" spans="1:25" ht="15" x14ac:dyDescent="0.25">
      <c r="B67" s="19">
        <v>45383</v>
      </c>
      <c r="C67" s="88">
        <f>'[50]Consumo Diário'!$C$39</f>
        <v>131029.27869999997</v>
      </c>
      <c r="D67" s="88"/>
      <c r="E67" s="88">
        <f t="shared" si="26"/>
        <v>131029.27869999997</v>
      </c>
      <c r="F67" s="93"/>
      <c r="G67" s="88">
        <f t="shared" si="27"/>
        <v>4883.1966000000039</v>
      </c>
      <c r="H67" s="88">
        <f t="shared" si="28"/>
        <v>0</v>
      </c>
      <c r="I67" s="88">
        <f t="shared" si="29"/>
        <v>4883.1966000000039</v>
      </c>
      <c r="J67" s="93"/>
      <c r="K67" s="89">
        <f>'[50]Consumo Diário'!$BA$39</f>
        <v>6909.4216999999981</v>
      </c>
      <c r="L67" s="89"/>
      <c r="M67" s="89">
        <f t="shared" si="30"/>
        <v>6909.4216999999981</v>
      </c>
      <c r="N67" s="93"/>
      <c r="O67" s="90">
        <f>'[50]Consumo Diário'!$AY$39</f>
        <v>142821.89699999997</v>
      </c>
      <c r="P67" s="90"/>
      <c r="Q67" s="90">
        <f t="shared" si="31"/>
        <v>142821.89699999997</v>
      </c>
      <c r="R67" s="25"/>
      <c r="S67" s="91">
        <f t="shared" si="32"/>
        <v>0.9516221122591586</v>
      </c>
      <c r="T67" s="91">
        <f t="shared" si="33"/>
        <v>4.8377887740841306E-2</v>
      </c>
      <c r="U67" s="96"/>
      <c r="V67" s="91">
        <f t="shared" si="34"/>
        <v>0.9516221122591586</v>
      </c>
      <c r="W67" s="91"/>
      <c r="X67" s="91">
        <f t="shared" si="35"/>
        <v>4.8377887740841306E-2</v>
      </c>
      <c r="Y67" s="91"/>
    </row>
    <row r="68" spans="1:25" ht="15" x14ac:dyDescent="0.25">
      <c r="B68" s="19">
        <v>45413</v>
      </c>
      <c r="C68" s="88">
        <f>'[51]Consumo Diário'!$C$39</f>
        <v>135422.95509999999</v>
      </c>
      <c r="D68" s="88"/>
      <c r="E68" s="88">
        <f t="shared" si="26"/>
        <v>135422.95509999999</v>
      </c>
      <c r="F68" s="93"/>
      <c r="G68" s="88">
        <f t="shared" si="27"/>
        <v>4934.362200000035</v>
      </c>
      <c r="H68" s="88">
        <f t="shared" si="28"/>
        <v>0</v>
      </c>
      <c r="I68" s="88">
        <f t="shared" si="29"/>
        <v>4934.362200000035</v>
      </c>
      <c r="J68" s="93"/>
      <c r="K68" s="89">
        <f>'[51]Consumo Diário'!$BA$39</f>
        <v>6751.1937000000007</v>
      </c>
      <c r="L68" s="89"/>
      <c r="M68" s="89">
        <f t="shared" si="30"/>
        <v>6751.1937000000007</v>
      </c>
      <c r="N68" s="93"/>
      <c r="O68" s="90">
        <f>'[51]Consumo Diário'!$AY$39</f>
        <v>147108.51100000003</v>
      </c>
      <c r="P68" s="90"/>
      <c r="Q68" s="90">
        <f t="shared" si="31"/>
        <v>147108.51100000003</v>
      </c>
      <c r="R68" s="25"/>
      <c r="S68" s="91">
        <f t="shared" si="32"/>
        <v>0.95410738879683177</v>
      </c>
      <c r="T68" s="91">
        <f t="shared" si="33"/>
        <v>4.5892611203168246E-2</v>
      </c>
      <c r="U68" s="96"/>
      <c r="V68" s="91">
        <f t="shared" si="34"/>
        <v>0.95410738879683177</v>
      </c>
      <c r="W68" s="91"/>
      <c r="X68" s="91">
        <f t="shared" si="35"/>
        <v>4.5892611203168246E-2</v>
      </c>
      <c r="Y68" s="91"/>
    </row>
    <row r="69" spans="1:25" ht="15" x14ac:dyDescent="0.25">
      <c r="B69" s="19">
        <v>45444</v>
      </c>
      <c r="C69" s="88">
        <f>'[52]Consumo Diário'!$C$39</f>
        <v>137757.95199999999</v>
      </c>
      <c r="D69" s="88"/>
      <c r="E69" s="88">
        <f t="shared" si="26"/>
        <v>137757.95199999999</v>
      </c>
      <c r="F69" s="93"/>
      <c r="G69" s="88">
        <f t="shared" si="27"/>
        <v>5808.326089999995</v>
      </c>
      <c r="H69" s="88">
        <f t="shared" si="28"/>
        <v>0</v>
      </c>
      <c r="I69" s="88">
        <f t="shared" si="29"/>
        <v>5808.326089999995</v>
      </c>
      <c r="J69" s="93"/>
      <c r="K69" s="89">
        <f>'[52]Consumo Diário'!$BA$39</f>
        <v>6729.9299099999989</v>
      </c>
      <c r="L69" s="89"/>
      <c r="M69" s="89">
        <f t="shared" si="30"/>
        <v>6729.9299099999989</v>
      </c>
      <c r="N69" s="93"/>
      <c r="O69" s="90">
        <f>'[52]Consumo Diário'!$AY$39</f>
        <v>150296.20799999998</v>
      </c>
      <c r="P69" s="90"/>
      <c r="Q69" s="90">
        <f t="shared" si="31"/>
        <v>150296.20799999998</v>
      </c>
      <c r="R69" s="25"/>
      <c r="S69" s="91">
        <f t="shared" si="32"/>
        <v>0.95522222416948799</v>
      </c>
      <c r="T69" s="91">
        <f t="shared" si="33"/>
        <v>4.4777775830511971E-2</v>
      </c>
      <c r="U69" s="96"/>
      <c r="V69" s="91">
        <f t="shared" si="34"/>
        <v>0.95522222416948799</v>
      </c>
      <c r="W69" s="91"/>
      <c r="X69" s="91">
        <f t="shared" si="35"/>
        <v>4.4777775830511971E-2</v>
      </c>
      <c r="Y69" s="91"/>
    </row>
    <row r="70" spans="1:25" ht="15" x14ac:dyDescent="0.25">
      <c r="B70" s="27"/>
      <c r="C70" s="20"/>
      <c r="D70" s="20"/>
      <c r="H70" s="20"/>
      <c r="I70" s="20"/>
      <c r="N70" s="93"/>
      <c r="R70" s="25"/>
    </row>
    <row r="71" spans="1:25" ht="14.4" x14ac:dyDescent="0.3">
      <c r="B71" s="28" t="s">
        <v>65</v>
      </c>
      <c r="C71" s="29">
        <f>AVERAGE(C4:C69)</f>
        <v>127792.35443621191</v>
      </c>
      <c r="D71" s="29">
        <f>AVERAGE(D4:D69)</f>
        <v>1823.1244438250933</v>
      </c>
      <c r="E71" s="29">
        <f>AVERAGE(E4:E69)</f>
        <v>129449.74029423471</v>
      </c>
      <c r="F71" s="93"/>
      <c r="G71" s="29">
        <f>AVERAGE(G4:G69)</f>
        <v>5104.6827243744374</v>
      </c>
      <c r="H71" s="29">
        <f>AVERAGE(H4:H69)</f>
        <v>273.11300078088533</v>
      </c>
      <c r="I71" s="29">
        <f>AVERAGE(I4:I69)</f>
        <v>5377.7957251553253</v>
      </c>
      <c r="K71" s="29">
        <f>AVERAGE(K4:K69)</f>
        <v>6640.9155606257864</v>
      </c>
      <c r="L71" s="29">
        <f>AVERAGE(L4:L69)</f>
        <v>332.32511864926579</v>
      </c>
      <c r="M71" s="29">
        <f>AVERAGE(M4:M69)</f>
        <v>6943.0293048523881</v>
      </c>
      <c r="O71" s="29">
        <f>AVERAGE(O4:O69)</f>
        <v>139537.7886909091</v>
      </c>
      <c r="P71" s="29">
        <f>AVERAGE(P4:P69)</f>
        <v>2456.08565</v>
      </c>
      <c r="Q71" s="29">
        <f>AVERAGE(Q4:Q69)</f>
        <v>141770.59382727279</v>
      </c>
      <c r="R71" s="25"/>
      <c r="S71" s="30">
        <f>AVERAGE(S4:S69)</f>
        <v>0.95078228964885825</v>
      </c>
      <c r="T71" s="30">
        <f>AVERAGE(T4:T69)</f>
        <v>4.9217502489361215E-2</v>
      </c>
      <c r="V71" s="28">
        <f>AVERAGE(V4:V69)</f>
        <v>0.93722333814741676</v>
      </c>
      <c r="W71" s="28">
        <f>AVERAGE(W4:W69)</f>
        <v>1.4914846651585399E-2</v>
      </c>
      <c r="X71" s="28">
        <f>AVERAGE(X4:X69)</f>
        <v>4.7073094928246177E-2</v>
      </c>
      <c r="Y71" s="28">
        <f>AVERAGE(Y4:Y69)</f>
        <v>2.3588483172265538E-3</v>
      </c>
    </row>
    <row r="72" spans="1:25" ht="15" x14ac:dyDescent="0.25">
      <c r="R72" s="25"/>
    </row>
    <row r="73" spans="1:25" ht="15" x14ac:dyDescent="0.25">
      <c r="B73" s="31"/>
    </row>
    <row r="74" spans="1:25" ht="15" x14ac:dyDescent="0.25">
      <c r="A74" s="32"/>
      <c r="C74" s="33"/>
      <c r="D74" s="33"/>
      <c r="E74" s="34"/>
    </row>
    <row r="75" spans="1:25" ht="15" x14ac:dyDescent="0.25">
      <c r="A75" s="32"/>
      <c r="C75" s="33"/>
      <c r="D75" s="33"/>
      <c r="E75" s="34"/>
    </row>
    <row r="76" spans="1:25" ht="15" x14ac:dyDescent="0.25">
      <c r="A76" s="32"/>
      <c r="C76" s="33"/>
      <c r="D76" s="33"/>
      <c r="E76" s="34"/>
    </row>
    <row r="77" spans="1:25" ht="15" x14ac:dyDescent="0.25">
      <c r="A77" s="32"/>
      <c r="C77" s="33"/>
      <c r="D77" s="33"/>
      <c r="E77" s="34"/>
    </row>
    <row r="78" spans="1:25" ht="15" x14ac:dyDescent="0.25">
      <c r="C78" s="33"/>
      <c r="D78" s="33"/>
      <c r="E78" s="34"/>
    </row>
    <row r="79" spans="1:25" ht="15" x14ac:dyDescent="0.25">
      <c r="C79" s="33"/>
      <c r="D79" s="33"/>
      <c r="E79" s="34"/>
    </row>
    <row r="80" spans="1:25" ht="15" x14ac:dyDescent="0.25">
      <c r="C80" s="33"/>
      <c r="D80" s="33"/>
      <c r="E80" s="34"/>
    </row>
    <row r="81" spans="1:7" ht="15" x14ac:dyDescent="0.25">
      <c r="C81" s="33"/>
      <c r="D81" s="33"/>
      <c r="E81" s="34"/>
    </row>
    <row r="85" spans="1:7" ht="12.75" x14ac:dyDescent="0.2">
      <c r="G85" s="35"/>
    </row>
    <row r="91" spans="1:7" ht="15" x14ac:dyDescent="0.25">
      <c r="B91" s="181" t="s">
        <v>66</v>
      </c>
      <c r="C91" s="181"/>
      <c r="D91" s="181"/>
      <c r="E91" s="181"/>
    </row>
    <row r="92" spans="1:7" x14ac:dyDescent="0.25">
      <c r="B92" s="15" t="s">
        <v>67</v>
      </c>
      <c r="C92" s="15" t="s">
        <v>68</v>
      </c>
      <c r="D92" s="15" t="s">
        <v>69</v>
      </c>
      <c r="E92" s="15" t="s">
        <v>70</v>
      </c>
    </row>
    <row r="93" spans="1:7" ht="14.4" x14ac:dyDescent="0.3">
      <c r="B93" s="36">
        <v>5</v>
      </c>
      <c r="C93" s="36">
        <f>B93*24*30.5</f>
        <v>3660</v>
      </c>
      <c r="D93" s="36">
        <f>4492/3</f>
        <v>1497.3333333333333</v>
      </c>
      <c r="E93" s="37">
        <f>C93-D93</f>
        <v>2162.666666666667</v>
      </c>
      <c r="G93" s="35"/>
    </row>
    <row r="94" spans="1:7" ht="14.4" x14ac:dyDescent="0.3">
      <c r="A94" s="15" t="s">
        <v>71</v>
      </c>
      <c r="B94" s="34">
        <f>C94/(24*30.5)</f>
        <v>3.5692167577413483</v>
      </c>
      <c r="C94" s="38">
        <f>D94+E94</f>
        <v>2612.666666666667</v>
      </c>
      <c r="D94" s="34">
        <v>450</v>
      </c>
      <c r="E94" s="38">
        <f>E93</f>
        <v>2162.666666666667</v>
      </c>
      <c r="G94" s="35"/>
    </row>
    <row r="95" spans="1:7" x14ac:dyDescent="0.25">
      <c r="D95" s="39" t="s">
        <v>72</v>
      </c>
      <c r="G95" s="35"/>
    </row>
  </sheetData>
  <mergeCells count="3">
    <mergeCell ref="V2:W2"/>
    <mergeCell ref="X2:Y2"/>
    <mergeCell ref="B91:E9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48"/>
  <sheetViews>
    <sheetView zoomScale="130" zoomScaleNormal="130" workbookViewId="0">
      <selection activeCell="H7" sqref="H7"/>
    </sheetView>
  </sheetViews>
  <sheetFormatPr defaultRowHeight="14.4" x14ac:dyDescent="0.3"/>
  <cols>
    <col min="2" max="2" width="20.5546875" customWidth="1"/>
    <col min="3" max="3" width="15.109375" bestFit="1" customWidth="1"/>
    <col min="4" max="5" width="12.109375" customWidth="1"/>
    <col min="6" max="6" width="18" customWidth="1"/>
    <col min="7" max="7" width="16.44140625" customWidth="1"/>
    <col min="8" max="8" width="15.5546875" customWidth="1"/>
    <col min="9" max="9" width="22.6640625" customWidth="1"/>
  </cols>
  <sheetData>
    <row r="4" spans="2:16" ht="39" x14ac:dyDescent="0.3">
      <c r="C4" s="83" t="s">
        <v>86</v>
      </c>
      <c r="D4" s="83" t="s">
        <v>87</v>
      </c>
      <c r="E4" s="83" t="s">
        <v>88</v>
      </c>
      <c r="F4" s="83" t="s">
        <v>93</v>
      </c>
      <c r="G4" s="83" t="s">
        <v>94</v>
      </c>
      <c r="H4" s="83" t="s">
        <v>89</v>
      </c>
      <c r="I4" s="83" t="s">
        <v>90</v>
      </c>
    </row>
    <row r="5" spans="2:16" ht="15" x14ac:dyDescent="0.25">
      <c r="B5" s="84" t="s">
        <v>2</v>
      </c>
      <c r="C5" s="85">
        <v>112</v>
      </c>
      <c r="D5" s="86">
        <v>45017</v>
      </c>
      <c r="E5" s="86" t="s">
        <v>91</v>
      </c>
      <c r="F5" s="87">
        <v>1.0363609</v>
      </c>
      <c r="G5" s="87">
        <v>1.04</v>
      </c>
      <c r="H5" s="85">
        <f>C5*F5*G5</f>
        <v>120.71531763200001</v>
      </c>
      <c r="I5" s="85">
        <f>H5*0.9075</f>
        <v>109.54915075104</v>
      </c>
      <c r="P5" s="82" t="s">
        <v>2</v>
      </c>
    </row>
    <row r="6" spans="2:16" ht="15" x14ac:dyDescent="0.25">
      <c r="B6" s="84" t="s">
        <v>1</v>
      </c>
      <c r="C6" s="85">
        <v>104.64</v>
      </c>
      <c r="D6" s="86">
        <v>44136</v>
      </c>
      <c r="E6" s="86" t="s">
        <v>91</v>
      </c>
      <c r="F6" s="87">
        <v>1.2615007</v>
      </c>
      <c r="G6" s="87">
        <v>1.04</v>
      </c>
      <c r="H6" s="85">
        <f t="shared" ref="H6:H8" si="0">C6*F6*G6</f>
        <v>137.28357057791999</v>
      </c>
      <c r="I6" s="85">
        <f t="shared" ref="I6:I8" si="1">H6*0.9075</f>
        <v>124.58484029946239</v>
      </c>
    </row>
    <row r="7" spans="2:16" ht="15" x14ac:dyDescent="0.25">
      <c r="B7" s="84" t="s">
        <v>3</v>
      </c>
      <c r="C7" s="85">
        <v>128</v>
      </c>
      <c r="D7" s="86">
        <v>42005</v>
      </c>
      <c r="E7" s="86" t="s">
        <v>91</v>
      </c>
      <c r="F7" s="87">
        <v>1.6884231000000001</v>
      </c>
      <c r="G7" s="87">
        <v>1.04</v>
      </c>
      <c r="H7" s="85">
        <f t="shared" si="0"/>
        <v>224.76288307200002</v>
      </c>
      <c r="I7" s="85">
        <f t="shared" si="1"/>
        <v>203.97231638784001</v>
      </c>
    </row>
    <row r="8" spans="2:16" ht="15" x14ac:dyDescent="0.25">
      <c r="B8" s="84" t="s">
        <v>82</v>
      </c>
      <c r="C8" s="85">
        <v>190.2</v>
      </c>
      <c r="D8" s="86">
        <v>44927</v>
      </c>
      <c r="E8" s="86" t="s">
        <v>91</v>
      </c>
      <c r="F8" s="87">
        <v>1.0571189999999999</v>
      </c>
      <c r="G8" s="87">
        <v>1.04</v>
      </c>
      <c r="H8" s="85">
        <f t="shared" si="0"/>
        <v>209.10659515199998</v>
      </c>
      <c r="I8" s="85">
        <f t="shared" si="1"/>
        <v>189.76423510043998</v>
      </c>
    </row>
    <row r="9" spans="2:16" ht="15" x14ac:dyDescent="0.25">
      <c r="B9" s="81"/>
    </row>
    <row r="16" spans="2:16" ht="15" x14ac:dyDescent="0.25">
      <c r="I16" s="108"/>
    </row>
    <row r="18" spans="16:16" ht="15" x14ac:dyDescent="0.25">
      <c r="P18" s="82" t="s">
        <v>1</v>
      </c>
    </row>
    <row r="34" spans="16:16" ht="15" x14ac:dyDescent="0.25">
      <c r="P34" s="82" t="s">
        <v>26</v>
      </c>
    </row>
    <row r="48" spans="16:16" ht="15" x14ac:dyDescent="0.25">
      <c r="P48" s="82" t="s">
        <v>92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G38"/>
  <sheetViews>
    <sheetView topLeftCell="A6" zoomScale="115" zoomScaleNormal="115" workbookViewId="0">
      <selection activeCell="C11" sqref="C11:C12"/>
    </sheetView>
  </sheetViews>
  <sheetFormatPr defaultRowHeight="14.4" x14ac:dyDescent="0.3"/>
  <cols>
    <col min="1" max="1" width="9.109375" style="109"/>
    <col min="2" max="2" width="15" style="109" bestFit="1" customWidth="1"/>
    <col min="3" max="14" width="12.33203125" style="109" bestFit="1" customWidth="1"/>
    <col min="15" max="17" width="9.109375" style="109"/>
    <col min="18" max="18" width="13" style="109" bestFit="1" customWidth="1"/>
    <col min="19" max="19" width="18.6640625" style="109" bestFit="1" customWidth="1"/>
    <col min="20" max="20" width="20" style="109" bestFit="1" customWidth="1"/>
    <col min="21" max="241" width="9.109375" style="109"/>
  </cols>
  <sheetData>
    <row r="1" spans="2:24" ht="15.75" thickBot="1" x14ac:dyDescent="0.3"/>
    <row r="2" spans="2:24" ht="15.75" thickBot="1" x14ac:dyDescent="0.3">
      <c r="V2" s="189" t="s">
        <v>15</v>
      </c>
      <c r="W2" s="190"/>
      <c r="X2" s="191"/>
    </row>
    <row r="3" spans="2:24" ht="15" x14ac:dyDescent="0.25">
      <c r="C3" s="110" t="s">
        <v>83</v>
      </c>
      <c r="D3" s="110" t="s">
        <v>84</v>
      </c>
      <c r="E3" s="110" t="s">
        <v>85</v>
      </c>
      <c r="F3" s="110" t="s">
        <v>36</v>
      </c>
      <c r="G3" s="110" t="s">
        <v>37</v>
      </c>
      <c r="H3" s="110" t="s">
        <v>38</v>
      </c>
      <c r="I3" s="110" t="s">
        <v>39</v>
      </c>
      <c r="J3" s="110" t="s">
        <v>40</v>
      </c>
      <c r="K3" s="110" t="s">
        <v>41</v>
      </c>
      <c r="L3" s="110" t="s">
        <v>42</v>
      </c>
      <c r="M3" s="110" t="s">
        <v>43</v>
      </c>
      <c r="N3" s="110" t="s">
        <v>44</v>
      </c>
      <c r="V3" s="129">
        <v>2025</v>
      </c>
      <c r="W3" s="130" t="s">
        <v>83</v>
      </c>
      <c r="X3" s="131">
        <v>66</v>
      </c>
    </row>
    <row r="4" spans="2:24" ht="15" x14ac:dyDescent="0.25">
      <c r="B4" s="112" t="s">
        <v>97</v>
      </c>
      <c r="C4" s="113">
        <v>678</v>
      </c>
      <c r="D4" s="113">
        <v>612</v>
      </c>
      <c r="E4" s="113">
        <v>684</v>
      </c>
      <c r="F4" s="113">
        <v>660</v>
      </c>
      <c r="G4" s="113">
        <v>681</v>
      </c>
      <c r="H4" s="113">
        <v>660</v>
      </c>
      <c r="I4" s="113">
        <v>675</v>
      </c>
      <c r="J4" s="113">
        <v>681</v>
      </c>
      <c r="K4" s="113">
        <v>654</v>
      </c>
      <c r="L4" s="113">
        <v>675</v>
      </c>
      <c r="M4" s="113">
        <v>660</v>
      </c>
      <c r="N4" s="113">
        <v>678</v>
      </c>
      <c r="V4" s="132">
        <v>2025</v>
      </c>
      <c r="W4" s="133" t="s">
        <v>84</v>
      </c>
      <c r="X4" s="134">
        <v>60</v>
      </c>
    </row>
    <row r="5" spans="2:24" ht="15" x14ac:dyDescent="0.25">
      <c r="B5" s="112" t="s">
        <v>98</v>
      </c>
      <c r="C5" s="113">
        <v>66</v>
      </c>
      <c r="D5" s="113">
        <v>60</v>
      </c>
      <c r="E5" s="113">
        <v>60</v>
      </c>
      <c r="F5" s="113">
        <v>60</v>
      </c>
      <c r="G5" s="113">
        <v>63</v>
      </c>
      <c r="H5" s="113">
        <v>60</v>
      </c>
      <c r="I5" s="113">
        <v>69</v>
      </c>
      <c r="J5" s="113">
        <v>63</v>
      </c>
      <c r="K5" s="113">
        <v>66</v>
      </c>
      <c r="L5" s="113">
        <v>69</v>
      </c>
      <c r="M5" s="113">
        <v>60</v>
      </c>
      <c r="N5" s="113">
        <v>66</v>
      </c>
      <c r="V5" s="132">
        <v>2025</v>
      </c>
      <c r="W5" s="133" t="s">
        <v>85</v>
      </c>
      <c r="X5" s="134">
        <v>60</v>
      </c>
    </row>
    <row r="6" spans="2:24" ht="15" x14ac:dyDescent="0.25">
      <c r="V6" s="132">
        <v>2025</v>
      </c>
      <c r="W6" s="133" t="s">
        <v>36</v>
      </c>
      <c r="X6" s="134">
        <v>60</v>
      </c>
    </row>
    <row r="7" spans="2:24" ht="15" x14ac:dyDescent="0.25">
      <c r="C7" s="182" t="s">
        <v>120</v>
      </c>
      <c r="D7" s="182"/>
      <c r="F7" s="182" t="s">
        <v>121</v>
      </c>
      <c r="G7" s="182"/>
      <c r="V7" s="132">
        <v>2025</v>
      </c>
      <c r="W7" s="133" t="s">
        <v>37</v>
      </c>
      <c r="X7" s="134">
        <v>63</v>
      </c>
    </row>
    <row r="8" spans="2:24" ht="15" x14ac:dyDescent="0.25">
      <c r="C8" s="111" t="s">
        <v>99</v>
      </c>
      <c r="D8" s="114">
        <v>7090</v>
      </c>
      <c r="F8" s="111" t="s">
        <v>99</v>
      </c>
      <c r="G8" s="115">
        <v>5</v>
      </c>
      <c r="V8" s="132">
        <v>2025</v>
      </c>
      <c r="W8" s="133" t="s">
        <v>38</v>
      </c>
      <c r="X8" s="134">
        <v>60</v>
      </c>
    </row>
    <row r="9" spans="2:24" ht="15" x14ac:dyDescent="0.25">
      <c r="C9" s="111" t="s">
        <v>100</v>
      </c>
      <c r="D9" s="114">
        <v>7090</v>
      </c>
      <c r="F9" s="111" t="s">
        <v>100</v>
      </c>
      <c r="G9" s="115">
        <v>5</v>
      </c>
      <c r="V9" s="132">
        <v>2025</v>
      </c>
      <c r="W9" s="133" t="s">
        <v>39</v>
      </c>
      <c r="X9" s="134">
        <v>69</v>
      </c>
    </row>
    <row r="10" spans="2:24" ht="15" x14ac:dyDescent="0.25">
      <c r="V10" s="132">
        <v>2025</v>
      </c>
      <c r="W10" s="133" t="s">
        <v>40</v>
      </c>
      <c r="X10" s="134">
        <v>63</v>
      </c>
    </row>
    <row r="11" spans="2:24" ht="15" x14ac:dyDescent="0.25">
      <c r="B11" s="112" t="s">
        <v>101</v>
      </c>
      <c r="C11" s="116">
        <f>$G$8*C4</f>
        <v>3390</v>
      </c>
      <c r="D11" s="116">
        <f t="shared" ref="D11:N11" si="0">$G$8*D4</f>
        <v>3060</v>
      </c>
      <c r="E11" s="116">
        <f t="shared" si="0"/>
        <v>3420</v>
      </c>
      <c r="F11" s="116">
        <f t="shared" si="0"/>
        <v>3300</v>
      </c>
      <c r="G11" s="116">
        <f t="shared" si="0"/>
        <v>3405</v>
      </c>
      <c r="H11" s="116">
        <f t="shared" si="0"/>
        <v>3300</v>
      </c>
      <c r="I11" s="116">
        <f t="shared" si="0"/>
        <v>3375</v>
      </c>
      <c r="J11" s="116">
        <f t="shared" si="0"/>
        <v>3405</v>
      </c>
      <c r="K11" s="116">
        <f t="shared" si="0"/>
        <v>3270</v>
      </c>
      <c r="L11" s="116">
        <f t="shared" si="0"/>
        <v>3375</v>
      </c>
      <c r="M11" s="116">
        <f t="shared" si="0"/>
        <v>3300</v>
      </c>
      <c r="N11" s="116">
        <f t="shared" si="0"/>
        <v>3390</v>
      </c>
      <c r="V11" s="132">
        <v>2025</v>
      </c>
      <c r="W11" s="133" t="s">
        <v>41</v>
      </c>
      <c r="X11" s="134">
        <v>66</v>
      </c>
    </row>
    <row r="12" spans="2:24" ht="15" x14ac:dyDescent="0.25">
      <c r="B12" s="112" t="s">
        <v>102</v>
      </c>
      <c r="C12" s="116">
        <f>$G$9*C5</f>
        <v>330</v>
      </c>
      <c r="D12" s="116">
        <f t="shared" ref="D12:N12" si="1">$G$9*D5</f>
        <v>300</v>
      </c>
      <c r="E12" s="116">
        <f t="shared" si="1"/>
        <v>300</v>
      </c>
      <c r="F12" s="116">
        <f t="shared" si="1"/>
        <v>300</v>
      </c>
      <c r="G12" s="116">
        <f t="shared" si="1"/>
        <v>315</v>
      </c>
      <c r="H12" s="116">
        <f t="shared" si="1"/>
        <v>300</v>
      </c>
      <c r="I12" s="116">
        <f t="shared" si="1"/>
        <v>345</v>
      </c>
      <c r="J12" s="116">
        <f t="shared" si="1"/>
        <v>315</v>
      </c>
      <c r="K12" s="116">
        <f t="shared" si="1"/>
        <v>330</v>
      </c>
      <c r="L12" s="116">
        <f t="shared" si="1"/>
        <v>345</v>
      </c>
      <c r="M12" s="116">
        <f t="shared" si="1"/>
        <v>300</v>
      </c>
      <c r="N12" s="116">
        <f t="shared" si="1"/>
        <v>330</v>
      </c>
      <c r="V12" s="132">
        <v>2025</v>
      </c>
      <c r="W12" s="133" t="s">
        <v>42</v>
      </c>
      <c r="X12" s="134">
        <v>69</v>
      </c>
    </row>
    <row r="13" spans="2:24" ht="15" x14ac:dyDescent="0.25">
      <c r="V13" s="132">
        <v>2025</v>
      </c>
      <c r="W13" s="133" t="s">
        <v>43</v>
      </c>
      <c r="X13" s="134">
        <v>60</v>
      </c>
    </row>
    <row r="14" spans="2:24" ht="15.75" thickBot="1" x14ac:dyDescent="0.3">
      <c r="B14" s="182" t="s">
        <v>103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V14" s="135">
        <v>2025</v>
      </c>
      <c r="W14" s="136" t="s">
        <v>44</v>
      </c>
      <c r="X14" s="137">
        <v>66</v>
      </c>
    </row>
    <row r="15" spans="2:24" ht="15" x14ac:dyDescent="0.25">
      <c r="B15" s="112" t="s">
        <v>104</v>
      </c>
      <c r="C15" s="138">
        <f>$D$9*$S$28</f>
        <v>136198.9</v>
      </c>
      <c r="D15" s="138">
        <f t="shared" ref="D15:E15" si="2">$D$9*$S$28</f>
        <v>136198.9</v>
      </c>
      <c r="E15" s="138">
        <f t="shared" si="2"/>
        <v>136198.9</v>
      </c>
      <c r="F15" s="138">
        <f t="shared" ref="F15:N15" si="3">$D$9*$S$21</f>
        <v>105711.9</v>
      </c>
      <c r="G15" s="138">
        <f t="shared" si="3"/>
        <v>105711.9</v>
      </c>
      <c r="H15" s="138">
        <f t="shared" si="3"/>
        <v>105711.9</v>
      </c>
      <c r="I15" s="138">
        <f t="shared" si="3"/>
        <v>105711.9</v>
      </c>
      <c r="J15" s="138">
        <f t="shared" si="3"/>
        <v>105711.9</v>
      </c>
      <c r="K15" s="138">
        <f t="shared" si="3"/>
        <v>105711.9</v>
      </c>
      <c r="L15" s="138">
        <f t="shared" si="3"/>
        <v>105711.9</v>
      </c>
      <c r="M15" s="138">
        <f t="shared" si="3"/>
        <v>105711.9</v>
      </c>
      <c r="N15" s="138">
        <f t="shared" si="3"/>
        <v>105711.9</v>
      </c>
    </row>
    <row r="16" spans="2:24" ht="15" x14ac:dyDescent="0.25">
      <c r="B16" s="112" t="s">
        <v>105</v>
      </c>
      <c r="C16" s="138">
        <f>$D$8*$S$29</f>
        <v>251482.3</v>
      </c>
      <c r="D16" s="138">
        <f t="shared" ref="D16:E16" si="4">$D$8*$S$29</f>
        <v>251482.3</v>
      </c>
      <c r="E16" s="138">
        <f t="shared" si="4"/>
        <v>251482.3</v>
      </c>
      <c r="F16" s="138">
        <f t="shared" ref="F16:N16" si="5">$D$8*$S$22</f>
        <v>225958.30000000002</v>
      </c>
      <c r="G16" s="138">
        <f t="shared" si="5"/>
        <v>225958.30000000002</v>
      </c>
      <c r="H16" s="138">
        <f t="shared" si="5"/>
        <v>225958.30000000002</v>
      </c>
      <c r="I16" s="138">
        <f t="shared" si="5"/>
        <v>225958.30000000002</v>
      </c>
      <c r="J16" s="138">
        <f t="shared" si="5"/>
        <v>225958.30000000002</v>
      </c>
      <c r="K16" s="138">
        <f t="shared" si="5"/>
        <v>225958.30000000002</v>
      </c>
      <c r="L16" s="138">
        <f t="shared" si="5"/>
        <v>225958.30000000002</v>
      </c>
      <c r="M16" s="138">
        <f t="shared" si="5"/>
        <v>225958.30000000002</v>
      </c>
      <c r="N16" s="138">
        <f t="shared" si="5"/>
        <v>225958.30000000002</v>
      </c>
    </row>
    <row r="18" spans="2:20" ht="15" x14ac:dyDescent="0.25">
      <c r="B18" s="182" t="s">
        <v>13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</row>
    <row r="19" spans="2:20" ht="15" x14ac:dyDescent="0.25">
      <c r="B19" s="112" t="s">
        <v>104</v>
      </c>
      <c r="C19" s="116">
        <f>C11*$S$30</f>
        <v>172110.30000000002</v>
      </c>
      <c r="D19" s="116">
        <f t="shared" ref="D19:E19" si="6">D11*$S$30</f>
        <v>155356.20000000001</v>
      </c>
      <c r="E19" s="116">
        <f t="shared" si="6"/>
        <v>173633.40000000002</v>
      </c>
      <c r="F19" s="116">
        <f t="shared" ref="F19:N19" si="7">F11*$S$23</f>
        <v>178464</v>
      </c>
      <c r="G19" s="116">
        <f t="shared" si="7"/>
        <v>184142.4</v>
      </c>
      <c r="H19" s="116">
        <f t="shared" si="7"/>
        <v>178464</v>
      </c>
      <c r="I19" s="116">
        <f t="shared" si="7"/>
        <v>182520</v>
      </c>
      <c r="J19" s="116">
        <f t="shared" si="7"/>
        <v>184142.4</v>
      </c>
      <c r="K19" s="116">
        <f t="shared" si="7"/>
        <v>176841.60000000001</v>
      </c>
      <c r="L19" s="116">
        <f t="shared" si="7"/>
        <v>182520</v>
      </c>
      <c r="M19" s="116">
        <f t="shared" si="7"/>
        <v>178464</v>
      </c>
      <c r="N19" s="116">
        <f t="shared" si="7"/>
        <v>183331.19999999998</v>
      </c>
    </row>
    <row r="20" spans="2:20" ht="15" x14ac:dyDescent="0.25">
      <c r="B20" s="112" t="s">
        <v>105</v>
      </c>
      <c r="C20" s="116">
        <f>C12*$S$31</f>
        <v>16754.100000000002</v>
      </c>
      <c r="D20" s="116">
        <f t="shared" ref="D20:E20" si="8">D12*$S$31</f>
        <v>15231.000000000002</v>
      </c>
      <c r="E20" s="116">
        <f t="shared" si="8"/>
        <v>15231.000000000002</v>
      </c>
      <c r="F20" s="116">
        <f t="shared" ref="F20:N20" si="9">F12*$S$24</f>
        <v>16224</v>
      </c>
      <c r="G20" s="116">
        <f t="shared" si="9"/>
        <v>17035.2</v>
      </c>
      <c r="H20" s="116">
        <f t="shared" si="9"/>
        <v>16224</v>
      </c>
      <c r="I20" s="116">
        <f t="shared" si="9"/>
        <v>18657.599999999999</v>
      </c>
      <c r="J20" s="116">
        <f t="shared" si="9"/>
        <v>17035.2</v>
      </c>
      <c r="K20" s="116">
        <f t="shared" si="9"/>
        <v>17846.399999999998</v>
      </c>
      <c r="L20" s="116">
        <f t="shared" si="9"/>
        <v>18657.599999999999</v>
      </c>
      <c r="M20" s="116">
        <f t="shared" si="9"/>
        <v>16224</v>
      </c>
      <c r="N20" s="116">
        <f t="shared" si="9"/>
        <v>17846.399999999998</v>
      </c>
      <c r="R20" s="192" t="s">
        <v>122</v>
      </c>
      <c r="S20" s="192"/>
      <c r="T20" s="192"/>
    </row>
    <row r="21" spans="2:20" ht="15" x14ac:dyDescent="0.25">
      <c r="R21" s="109" t="s">
        <v>114</v>
      </c>
      <c r="S21" s="139">
        <f>14.91</f>
        <v>14.91</v>
      </c>
      <c r="T21" s="109" t="s">
        <v>119</v>
      </c>
    </row>
    <row r="22" spans="2:20" ht="15" x14ac:dyDescent="0.25">
      <c r="B22" s="183" t="s">
        <v>106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5"/>
      <c r="R22" s="109" t="s">
        <v>115</v>
      </c>
      <c r="S22" s="139">
        <f>31.87</f>
        <v>31.87</v>
      </c>
      <c r="T22" s="109" t="s">
        <v>119</v>
      </c>
    </row>
    <row r="23" spans="2:20" x14ac:dyDescent="0.3">
      <c r="B23" s="117" t="s">
        <v>16</v>
      </c>
      <c r="C23" s="117" t="s">
        <v>83</v>
      </c>
      <c r="D23" s="117" t="s">
        <v>84</v>
      </c>
      <c r="E23" s="117" t="s">
        <v>85</v>
      </c>
      <c r="F23" s="117" t="s">
        <v>36</v>
      </c>
      <c r="G23" s="117" t="s">
        <v>37</v>
      </c>
      <c r="H23" s="117" t="s">
        <v>38</v>
      </c>
      <c r="I23" s="117" t="s">
        <v>39</v>
      </c>
      <c r="J23" s="117" t="s">
        <v>40</v>
      </c>
      <c r="K23" s="117" t="s">
        <v>41</v>
      </c>
      <c r="L23" s="117" t="s">
        <v>42</v>
      </c>
      <c r="M23" s="117" t="s">
        <v>43</v>
      </c>
      <c r="N23" s="117" t="s">
        <v>44</v>
      </c>
      <c r="R23" s="109" t="s">
        <v>116</v>
      </c>
      <c r="S23" s="140">
        <v>54.08</v>
      </c>
      <c r="T23" s="109" t="s">
        <v>118</v>
      </c>
    </row>
    <row r="24" spans="2:20" ht="15" x14ac:dyDescent="0.25">
      <c r="B24" s="112" t="s">
        <v>107</v>
      </c>
      <c r="C24" s="118">
        <f t="shared" ref="C24:E24" si="10">SUM(C15:C16)/SUM(C11:C12)</f>
        <v>104.21537634408601</v>
      </c>
      <c r="D24" s="118">
        <f t="shared" si="10"/>
        <v>115.38130952380951</v>
      </c>
      <c r="E24" s="118">
        <f t="shared" si="10"/>
        <v>104.21537634408601</v>
      </c>
      <c r="F24" s="118">
        <f t="shared" ref="F24:N24" si="11">SUM(F15:F16)/SUM(F11:F12)</f>
        <v>92.130611111111108</v>
      </c>
      <c r="G24" s="118">
        <f t="shared" si="11"/>
        <v>89.158655913978492</v>
      </c>
      <c r="H24" s="118">
        <f t="shared" si="11"/>
        <v>92.130611111111108</v>
      </c>
      <c r="I24" s="118">
        <f t="shared" si="11"/>
        <v>89.158655913978492</v>
      </c>
      <c r="J24" s="118">
        <f t="shared" si="11"/>
        <v>89.158655913978492</v>
      </c>
      <c r="K24" s="118">
        <f t="shared" si="11"/>
        <v>92.130611111111108</v>
      </c>
      <c r="L24" s="118">
        <f t="shared" si="11"/>
        <v>89.158655913978492</v>
      </c>
      <c r="M24" s="118">
        <f t="shared" si="11"/>
        <v>92.130611111111108</v>
      </c>
      <c r="N24" s="118">
        <f t="shared" si="11"/>
        <v>89.158655913978492</v>
      </c>
      <c r="R24" s="109" t="s">
        <v>117</v>
      </c>
      <c r="S24" s="140">
        <v>54.08</v>
      </c>
      <c r="T24" s="109" t="s">
        <v>118</v>
      </c>
    </row>
    <row r="25" spans="2:20" ht="15" x14ac:dyDescent="0.25">
      <c r="B25" s="112" t="s">
        <v>108</v>
      </c>
      <c r="C25" s="112">
        <f t="shared" ref="C25:E25" si="12">SUM(C19:C20)/SUM(C11:C12)</f>
        <v>50.77</v>
      </c>
      <c r="D25" s="112">
        <f t="shared" si="12"/>
        <v>50.77</v>
      </c>
      <c r="E25" s="112">
        <f t="shared" si="12"/>
        <v>50.77</v>
      </c>
      <c r="F25" s="112">
        <f t="shared" ref="F25:N25" si="13">SUM(F19:F20)/SUM(F11:F12)</f>
        <v>54.08</v>
      </c>
      <c r="G25" s="112">
        <f t="shared" si="13"/>
        <v>54.08</v>
      </c>
      <c r="H25" s="112">
        <f t="shared" si="13"/>
        <v>54.08</v>
      </c>
      <c r="I25" s="112">
        <f t="shared" si="13"/>
        <v>54.08</v>
      </c>
      <c r="J25" s="112">
        <f t="shared" si="13"/>
        <v>54.08</v>
      </c>
      <c r="K25" s="112">
        <f t="shared" si="13"/>
        <v>54.08</v>
      </c>
      <c r="L25" s="112">
        <f t="shared" si="13"/>
        <v>54.08</v>
      </c>
      <c r="M25" s="112">
        <f t="shared" si="13"/>
        <v>54.08</v>
      </c>
      <c r="N25" s="112">
        <f t="shared" si="13"/>
        <v>54.079999999999991</v>
      </c>
    </row>
    <row r="27" spans="2:20" ht="15" x14ac:dyDescent="0.25">
      <c r="R27" s="192" t="s">
        <v>123</v>
      </c>
      <c r="S27" s="192"/>
      <c r="T27" s="192"/>
    </row>
    <row r="28" spans="2:20" x14ac:dyDescent="0.3">
      <c r="B28" s="186" t="s">
        <v>109</v>
      </c>
      <c r="C28" s="187"/>
      <c r="D28" s="187"/>
      <c r="E28" s="187"/>
      <c r="F28" s="188"/>
      <c r="R28" s="109" t="s">
        <v>114</v>
      </c>
      <c r="S28" s="139">
        <v>19.21</v>
      </c>
      <c r="T28" s="109" t="s">
        <v>119</v>
      </c>
    </row>
    <row r="29" spans="2:20" ht="15" x14ac:dyDescent="0.25">
      <c r="B29" s="119"/>
      <c r="C29" s="120" t="s">
        <v>110</v>
      </c>
      <c r="D29" s="120" t="s">
        <v>111</v>
      </c>
      <c r="E29" s="120" t="s">
        <v>112</v>
      </c>
      <c r="F29" s="121" t="s">
        <v>113</v>
      </c>
      <c r="R29" s="109" t="s">
        <v>115</v>
      </c>
      <c r="S29" s="139">
        <v>35.47</v>
      </c>
      <c r="T29" s="109" t="s">
        <v>119</v>
      </c>
    </row>
    <row r="30" spans="2:20" ht="15" x14ac:dyDescent="0.25">
      <c r="B30" s="122" t="s">
        <v>107</v>
      </c>
      <c r="C30" s="123">
        <f>SUM($C$15:$E$16)/SUM($C$11:$E$12)</f>
        <v>107.68922222222223</v>
      </c>
      <c r="D30" s="123">
        <f>SUM($F$15:$H$16)/SUM($F$11:$H$12)</f>
        <v>91.118186813186824</v>
      </c>
      <c r="E30" s="123">
        <f>SUM($I$15:$K$16)/SUM($I$11:$K$12)</f>
        <v>90.127771739130438</v>
      </c>
      <c r="F30" s="124">
        <f>SUM($L$15:$N$16)/SUM($L$11:$N$12)</f>
        <v>90.127771739130438</v>
      </c>
      <c r="R30" s="109" t="s">
        <v>116</v>
      </c>
      <c r="S30" s="140">
        <v>50.77</v>
      </c>
      <c r="T30" s="109" t="s">
        <v>118</v>
      </c>
    </row>
    <row r="31" spans="2:20" ht="15" x14ac:dyDescent="0.25">
      <c r="B31" s="125" t="s">
        <v>108</v>
      </c>
      <c r="C31" s="126">
        <f>SUM($C$19:$E$20)/SUM($C$11:$E$12)</f>
        <v>50.77</v>
      </c>
      <c r="D31" s="126">
        <f>SUM($F$19:$H$20)/SUM($F$11:$H$12)</f>
        <v>54.08</v>
      </c>
      <c r="E31" s="126">
        <f>SUM($I$19:$K$20)/SUM($I$11:$K$12)</f>
        <v>54.08</v>
      </c>
      <c r="F31" s="127">
        <f>SUM($L$19:$N$20)/SUM($L$11:$N$12)</f>
        <v>54.08</v>
      </c>
      <c r="R31" s="109" t="s">
        <v>117</v>
      </c>
      <c r="S31" s="140">
        <v>50.77</v>
      </c>
      <c r="T31" s="109" t="s">
        <v>118</v>
      </c>
    </row>
    <row r="33" spans="3:14" ht="15" x14ac:dyDescent="0.25"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</row>
    <row r="34" spans="3:14" ht="15" x14ac:dyDescent="0.25"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</row>
    <row r="37" spans="3:14" ht="15" x14ac:dyDescent="0.25">
      <c r="C37" s="128"/>
      <c r="D37" s="128"/>
      <c r="E37" s="128"/>
      <c r="F37" s="128"/>
      <c r="G37" s="128"/>
      <c r="H37" s="128"/>
      <c r="I37" s="128"/>
      <c r="J37" s="128"/>
      <c r="K37" s="128"/>
      <c r="L37" s="128"/>
    </row>
    <row r="38" spans="3:14" ht="15" x14ac:dyDescent="0.25">
      <c r="C38" s="128"/>
      <c r="D38" s="128"/>
      <c r="E38" s="128"/>
      <c r="F38" s="128"/>
      <c r="G38" s="128"/>
      <c r="H38" s="128"/>
      <c r="I38" s="128"/>
      <c r="J38" s="128"/>
      <c r="K38" s="128"/>
      <c r="L38" s="128"/>
    </row>
  </sheetData>
  <mergeCells count="9">
    <mergeCell ref="B18:N18"/>
    <mergeCell ref="B22:N22"/>
    <mergeCell ref="B28:F28"/>
    <mergeCell ref="V2:X2"/>
    <mergeCell ref="R20:T20"/>
    <mergeCell ref="R27:T27"/>
    <mergeCell ref="C7:D7"/>
    <mergeCell ref="F7:G7"/>
    <mergeCell ref="B14:N1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Memória de Cálculo</vt:lpstr>
      <vt:lpstr>Montantes</vt:lpstr>
      <vt:lpstr>Preços - Mineração Ipueira</vt:lpstr>
      <vt:lpstr>Preços - Pojuca</vt:lpstr>
      <vt:lpstr>Curva de Preços SPOT</vt:lpstr>
      <vt:lpstr>Energia Aux - Met</vt:lpstr>
      <vt:lpstr>Preços</vt:lpstr>
      <vt:lpstr>Encargos Mineração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Edvaldo Carvalho Silva Junior</dc:creator>
  <cp:lastModifiedBy>Edvaldo Carvalho Silva Junior</cp:lastModifiedBy>
  <dcterms:created xsi:type="dcterms:W3CDTF">2024-03-28T12:12:12Z</dcterms:created>
  <dcterms:modified xsi:type="dcterms:W3CDTF">2024-07-04T16:40:07Z</dcterms:modified>
</cp:coreProperties>
</file>